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45" windowWidth="19320" windowHeight="10230" activeTab="3"/>
  </bookViews>
  <sheets>
    <sheet name="Beta" sheetId="8" r:id="rId1"/>
    <sheet name="WACC" sheetId="2" r:id="rId2"/>
    <sheet name="Debt" sheetId="7" r:id="rId3"/>
    <sheet name="DCF" sheetId="4" r:id="rId4"/>
  </sheets>
  <calcPr calcId="125725"/>
</workbook>
</file>

<file path=xl/calcChain.xml><?xml version="1.0" encoding="utf-8"?>
<calcChain xmlns="http://schemas.openxmlformats.org/spreadsheetml/2006/main">
  <c r="E39" i="8"/>
  <c r="D39"/>
  <c r="E38"/>
  <c r="D38"/>
  <c r="E37"/>
  <c r="D37"/>
  <c r="E36"/>
  <c r="D36"/>
  <c r="E35"/>
  <c r="D35"/>
  <c r="E34"/>
  <c r="D34"/>
  <c r="E33"/>
  <c r="D33"/>
  <c r="E32"/>
  <c r="D32"/>
  <c r="E31"/>
  <c r="D31"/>
  <c r="E30"/>
  <c r="D30"/>
  <c r="E29"/>
  <c r="D29"/>
  <c r="E28"/>
  <c r="D28"/>
  <c r="E27"/>
  <c r="D27"/>
  <c r="E26"/>
  <c r="D26"/>
  <c r="E25"/>
  <c r="D25"/>
  <c r="E24"/>
  <c r="D24"/>
  <c r="E23"/>
  <c r="D23"/>
  <c r="E22"/>
  <c r="D22"/>
  <c r="E21"/>
  <c r="D21"/>
  <c r="E20"/>
  <c r="D20"/>
  <c r="E19"/>
  <c r="D19"/>
  <c r="E18"/>
  <c r="D18"/>
  <c r="E17"/>
  <c r="D17"/>
  <c r="E16"/>
  <c r="D16"/>
  <c r="E15"/>
  <c r="D15"/>
  <c r="E14"/>
  <c r="D14"/>
  <c r="E13"/>
  <c r="D13"/>
  <c r="E12"/>
  <c r="D12"/>
  <c r="E11"/>
  <c r="D11"/>
  <c r="E10"/>
  <c r="D10"/>
  <c r="E9"/>
  <c r="D9"/>
  <c r="E8"/>
  <c r="D8"/>
  <c r="E7"/>
  <c r="D7"/>
  <c r="E6"/>
  <c r="D6"/>
  <c r="E5"/>
  <c r="D5"/>
  <c r="E4"/>
  <c r="D4"/>
  <c r="H32" s="1"/>
  <c r="K25" i="7"/>
  <c r="N23"/>
  <c r="L23"/>
  <c r="M23" s="1"/>
  <c r="N22"/>
  <c r="L22"/>
  <c r="M22" s="1"/>
  <c r="N21"/>
  <c r="L21"/>
  <c r="M21" s="1"/>
  <c r="N20"/>
  <c r="L20"/>
  <c r="M20" s="1"/>
  <c r="N19"/>
  <c r="L19"/>
  <c r="M19" s="1"/>
  <c r="N18"/>
  <c r="L18"/>
  <c r="M18" s="1"/>
  <c r="N17"/>
  <c r="L17"/>
  <c r="M17" s="1"/>
  <c r="N16"/>
  <c r="L16"/>
  <c r="M16" s="1"/>
  <c r="N15"/>
  <c r="L15"/>
  <c r="M15" s="1"/>
  <c r="N14"/>
  <c r="L14"/>
  <c r="M14" s="1"/>
  <c r="N13"/>
  <c r="L13"/>
  <c r="M13" s="1"/>
  <c r="N12"/>
  <c r="L12"/>
  <c r="M12" s="1"/>
  <c r="N11"/>
  <c r="L11"/>
  <c r="M11" s="1"/>
  <c r="N10"/>
  <c r="L10"/>
  <c r="M10" s="1"/>
  <c r="N9"/>
  <c r="L9"/>
  <c r="M9" s="1"/>
  <c r="N8"/>
  <c r="L8"/>
  <c r="M8" s="1"/>
  <c r="N7"/>
  <c r="N25" s="1"/>
  <c r="L7"/>
  <c r="L25" s="1"/>
  <c r="J7"/>
  <c r="M7" s="1"/>
  <c r="M25" s="1"/>
  <c r="H31" i="8" l="1"/>
  <c r="H33" s="1"/>
  <c r="H37" s="1"/>
  <c r="O8" i="7"/>
  <c r="P8" s="1"/>
  <c r="O9"/>
  <c r="P9" s="1"/>
  <c r="O10"/>
  <c r="P10" s="1"/>
  <c r="O11"/>
  <c r="P11" s="1"/>
  <c r="O12"/>
  <c r="P12" s="1"/>
  <c r="O13"/>
  <c r="P13" s="1"/>
  <c r="O14"/>
  <c r="P14" s="1"/>
  <c r="O15"/>
  <c r="P15" s="1"/>
  <c r="O16"/>
  <c r="P16" s="1"/>
  <c r="O17"/>
  <c r="P17" s="1"/>
  <c r="O18"/>
  <c r="P18" s="1"/>
  <c r="O19"/>
  <c r="P19" s="1"/>
  <c r="O20"/>
  <c r="P20" s="1"/>
  <c r="O21"/>
  <c r="P21" s="1"/>
  <c r="O22"/>
  <c r="P22" s="1"/>
  <c r="O23"/>
  <c r="P23" s="1"/>
  <c r="O7"/>
  <c r="O25" l="1"/>
  <c r="P7"/>
  <c r="P25" s="1"/>
  <c r="B95" i="4" l="1"/>
  <c r="B94"/>
  <c r="B17" i="2"/>
  <c r="E21" s="1"/>
  <c r="E22"/>
  <c r="C22"/>
  <c r="C21"/>
  <c r="F72" i="4"/>
  <c r="G72"/>
  <c r="H72" s="1"/>
  <c r="I72" s="1"/>
  <c r="J72" s="1"/>
  <c r="F73"/>
  <c r="G73" s="1"/>
  <c r="H73" s="1"/>
  <c r="I73" s="1"/>
  <c r="J73" s="1"/>
  <c r="F74"/>
  <c r="G74"/>
  <c r="H74" s="1"/>
  <c r="I74" s="1"/>
  <c r="J74" s="1"/>
  <c r="F76"/>
  <c r="F77"/>
  <c r="G77"/>
  <c r="H77" s="1"/>
  <c r="I77" s="1"/>
  <c r="J77" s="1"/>
  <c r="F78"/>
  <c r="G78" s="1"/>
  <c r="H78" s="1"/>
  <c r="I78" s="1"/>
  <c r="J78" s="1"/>
  <c r="G71"/>
  <c r="F71"/>
  <c r="F65"/>
  <c r="G65"/>
  <c r="H65" s="1"/>
  <c r="I65" s="1"/>
  <c r="J65" s="1"/>
  <c r="F66"/>
  <c r="G66" s="1"/>
  <c r="H66" s="1"/>
  <c r="I66" s="1"/>
  <c r="J66" s="1"/>
  <c r="F67"/>
  <c r="G67"/>
  <c r="H67" s="1"/>
  <c r="I67" s="1"/>
  <c r="J67" s="1"/>
  <c r="F68"/>
  <c r="G68" s="1"/>
  <c r="H68" s="1"/>
  <c r="I68" s="1"/>
  <c r="J68" s="1"/>
  <c r="G64"/>
  <c r="H64" s="1"/>
  <c r="I64" s="1"/>
  <c r="J64" s="1"/>
  <c r="F64"/>
  <c r="G62"/>
  <c r="H62" s="1"/>
  <c r="I62" s="1"/>
  <c r="J62" s="1"/>
  <c r="F62"/>
  <c r="F61"/>
  <c r="G61" s="1"/>
  <c r="H61" s="1"/>
  <c r="I61" s="1"/>
  <c r="J61" s="1"/>
  <c r="B4"/>
  <c r="B3"/>
  <c r="B2"/>
  <c r="E22"/>
  <c r="E27"/>
  <c r="E30"/>
  <c r="E31"/>
  <c r="E32"/>
  <c r="E33"/>
  <c r="E60"/>
  <c r="E44"/>
  <c r="E45"/>
  <c r="E46"/>
  <c r="E47"/>
  <c r="E48"/>
  <c r="E50"/>
  <c r="E51"/>
  <c r="E52"/>
  <c r="E53"/>
  <c r="E54"/>
  <c r="E55"/>
  <c r="E56"/>
  <c r="E17"/>
  <c r="E18"/>
  <c r="E16"/>
  <c r="E15"/>
  <c r="E12"/>
  <c r="F11"/>
  <c r="F60" s="1"/>
  <c r="F63" s="1"/>
  <c r="D80"/>
  <c r="D37"/>
  <c r="B80"/>
  <c r="B37"/>
  <c r="C80"/>
  <c r="C37"/>
  <c r="B7" i="2"/>
  <c r="F87" i="4" l="1"/>
  <c r="F69"/>
  <c r="H24"/>
  <c r="F48"/>
  <c r="F46"/>
  <c r="F56"/>
  <c r="F54"/>
  <c r="F52"/>
  <c r="C23" i="2"/>
  <c r="D22" s="1"/>
  <c r="F12" i="4"/>
  <c r="F13" s="1"/>
  <c r="F15"/>
  <c r="F17"/>
  <c r="G24"/>
  <c r="I24"/>
  <c r="G11"/>
  <c r="F18"/>
  <c r="F16"/>
  <c r="F22"/>
  <c r="F24"/>
  <c r="J24"/>
  <c r="F44"/>
  <c r="F47"/>
  <c r="F45"/>
  <c r="F50"/>
  <c r="F55"/>
  <c r="F53"/>
  <c r="F51"/>
  <c r="F88" s="1"/>
  <c r="H71"/>
  <c r="I71" l="1"/>
  <c r="F85"/>
  <c r="G60"/>
  <c r="G63" s="1"/>
  <c r="G50"/>
  <c r="G51"/>
  <c r="G88" s="1"/>
  <c r="G52"/>
  <c r="G53"/>
  <c r="G54"/>
  <c r="G55"/>
  <c r="G56"/>
  <c r="G44"/>
  <c r="G45"/>
  <c r="G46"/>
  <c r="G47"/>
  <c r="G48"/>
  <c r="G22"/>
  <c r="G15"/>
  <c r="G16"/>
  <c r="G17"/>
  <c r="G18"/>
  <c r="G12"/>
  <c r="G13" s="1"/>
  <c r="H11"/>
  <c r="F49"/>
  <c r="F19"/>
  <c r="F20" s="1"/>
  <c r="F23" s="1"/>
  <c r="F25" s="1"/>
  <c r="F26" s="1"/>
  <c r="F28" s="1"/>
  <c r="F34" s="1"/>
  <c r="D21" i="2"/>
  <c r="E24" s="1"/>
  <c r="F35" i="4" l="1"/>
  <c r="F37" s="1"/>
  <c r="F75" s="1"/>
  <c r="F84"/>
  <c r="F86"/>
  <c r="F57"/>
  <c r="J71"/>
  <c r="G49"/>
  <c r="G19"/>
  <c r="G20" s="1"/>
  <c r="G23" s="1"/>
  <c r="G25" s="1"/>
  <c r="G26" s="1"/>
  <c r="G28" s="1"/>
  <c r="G34" s="1"/>
  <c r="H12"/>
  <c r="I11"/>
  <c r="H22"/>
  <c r="H15"/>
  <c r="H16"/>
  <c r="H17"/>
  <c r="H60"/>
  <c r="H63" s="1"/>
  <c r="H50"/>
  <c r="H51"/>
  <c r="H88" s="1"/>
  <c r="H52"/>
  <c r="H53"/>
  <c r="H54"/>
  <c r="H55"/>
  <c r="H56"/>
  <c r="H44"/>
  <c r="H45"/>
  <c r="H46"/>
  <c r="H47"/>
  <c r="H48"/>
  <c r="H13"/>
  <c r="H18"/>
  <c r="G87"/>
  <c r="G69"/>
  <c r="G35" l="1"/>
  <c r="G37" s="1"/>
  <c r="G76" s="1"/>
  <c r="G84"/>
  <c r="I60"/>
  <c r="I63" s="1"/>
  <c r="I50"/>
  <c r="I51"/>
  <c r="I88" s="1"/>
  <c r="I52"/>
  <c r="I53"/>
  <c r="I54"/>
  <c r="I55"/>
  <c r="I56"/>
  <c r="I44"/>
  <c r="I45"/>
  <c r="I46"/>
  <c r="I47"/>
  <c r="I48"/>
  <c r="I22"/>
  <c r="I15"/>
  <c r="I16"/>
  <c r="I17"/>
  <c r="I18"/>
  <c r="I12"/>
  <c r="I13" s="1"/>
  <c r="J11"/>
  <c r="G75"/>
  <c r="F79"/>
  <c r="F80" s="1"/>
  <c r="H19"/>
  <c r="H20" s="1"/>
  <c r="H23" s="1"/>
  <c r="H25" s="1"/>
  <c r="H26" s="1"/>
  <c r="H28" s="1"/>
  <c r="H34" s="1"/>
  <c r="H87"/>
  <c r="H69"/>
  <c r="G86"/>
  <c r="G57"/>
  <c r="H49"/>
  <c r="F89"/>
  <c r="F91" s="1"/>
  <c r="H35" l="1"/>
  <c r="H37" s="1"/>
  <c r="H75" s="1"/>
  <c r="H84"/>
  <c r="H89" s="1"/>
  <c r="H91" s="1"/>
  <c r="H57"/>
  <c r="H86"/>
  <c r="G79"/>
  <c r="G80" s="1"/>
  <c r="J12"/>
  <c r="J13" s="1"/>
  <c r="J22"/>
  <c r="J15"/>
  <c r="J16"/>
  <c r="J17"/>
  <c r="J18"/>
  <c r="J60"/>
  <c r="J63" s="1"/>
  <c r="J50"/>
  <c r="J51"/>
  <c r="J88" s="1"/>
  <c r="J52"/>
  <c r="J53"/>
  <c r="J54"/>
  <c r="J55"/>
  <c r="J56"/>
  <c r="J44"/>
  <c r="J49" s="1"/>
  <c r="J45"/>
  <c r="J46"/>
  <c r="J47"/>
  <c r="J48"/>
  <c r="I87"/>
  <c r="I69"/>
  <c r="I49"/>
  <c r="H76"/>
  <c r="I19"/>
  <c r="I20" s="1"/>
  <c r="I23" s="1"/>
  <c r="I25" s="1"/>
  <c r="I26" s="1"/>
  <c r="I28" s="1"/>
  <c r="I34" s="1"/>
  <c r="G89"/>
  <c r="G91" s="1"/>
  <c r="I35" l="1"/>
  <c r="I37" s="1"/>
  <c r="I75" s="1"/>
  <c r="I84"/>
  <c r="I86"/>
  <c r="I57"/>
  <c r="H79"/>
  <c r="H80" s="1"/>
  <c r="I76"/>
  <c r="J57"/>
  <c r="J86"/>
  <c r="J87"/>
  <c r="J69"/>
  <c r="J19"/>
  <c r="J20" s="1"/>
  <c r="J23" s="1"/>
  <c r="J25" s="1"/>
  <c r="J26" s="1"/>
  <c r="J28" s="1"/>
  <c r="J34" s="1"/>
  <c r="J35" l="1"/>
  <c r="J37" s="1"/>
  <c r="J75" s="1"/>
  <c r="J84"/>
  <c r="J89" s="1"/>
  <c r="J90" s="1"/>
  <c r="J91" s="1"/>
  <c r="B93" s="1"/>
  <c r="B96" s="1"/>
  <c r="B98" s="1"/>
  <c r="B101" s="1"/>
  <c r="J76"/>
  <c r="I79"/>
  <c r="I80" s="1"/>
  <c r="I89"/>
  <c r="I91" s="1"/>
  <c r="J79" l="1"/>
  <c r="J80" s="1"/>
</calcChain>
</file>

<file path=xl/comments1.xml><?xml version="1.0" encoding="utf-8"?>
<comments xmlns="http://schemas.openxmlformats.org/spreadsheetml/2006/main">
  <authors>
    <author>Jeremy Holcombe</author>
  </authors>
  <commentList>
    <comment ref="B2" authorId="0">
      <text>
        <r>
          <rPr>
            <b/>
            <sz val="9"/>
            <color indexed="81"/>
            <rFont val="Tahoma"/>
            <family val="2"/>
          </rPr>
          <t>Jeremy Holcombe:</t>
        </r>
        <r>
          <rPr>
            <sz val="9"/>
            <color indexed="81"/>
            <rFont val="Tahoma"/>
            <family val="2"/>
          </rPr>
          <t xml:space="preserve">
From Project Instructions</t>
        </r>
      </text>
    </comment>
    <comment ref="B3" authorId="0">
      <text>
        <r>
          <rPr>
            <b/>
            <sz val="9"/>
            <color indexed="81"/>
            <rFont val="Tahoma"/>
            <family val="2"/>
          </rPr>
          <t>Jeremy Holcombe:</t>
        </r>
        <r>
          <rPr>
            <sz val="9"/>
            <color indexed="81"/>
            <rFont val="Tahoma"/>
            <family val="2"/>
          </rPr>
          <t xml:space="preserve">
From Project Instructions</t>
        </r>
      </text>
    </comment>
    <comment ref="B4" authorId="0">
      <text>
        <r>
          <rPr>
            <b/>
            <sz val="9"/>
            <color indexed="81"/>
            <rFont val="Tahoma"/>
            <family val="2"/>
          </rPr>
          <t>Jeremy Holcombe:</t>
        </r>
        <r>
          <rPr>
            <sz val="9"/>
            <color indexed="81"/>
            <rFont val="Tahoma"/>
            <family val="2"/>
          </rPr>
          <t xml:space="preserve">
From 2009 Income Statement -- Income Tax divided by Income before Tax</t>
        </r>
      </text>
    </comment>
    <comment ref="B6" authorId="0">
      <text>
        <r>
          <rPr>
            <b/>
            <sz val="9"/>
            <color indexed="81"/>
            <rFont val="Tahoma"/>
            <family val="2"/>
          </rPr>
          <t>Jeremy Holcombe:</t>
        </r>
        <r>
          <rPr>
            <sz val="9"/>
            <color indexed="81"/>
            <rFont val="Tahoma"/>
            <family val="2"/>
          </rPr>
          <t xml:space="preserve">
From Yahoo</t>
        </r>
      </text>
    </comment>
    <comment ref="B7" authorId="0">
      <text>
        <r>
          <rPr>
            <b/>
            <sz val="9"/>
            <color indexed="81"/>
            <rFont val="Tahoma"/>
            <family val="2"/>
          </rPr>
          <t>Jeremy Holcombe:</t>
        </r>
        <r>
          <rPr>
            <sz val="9"/>
            <color indexed="81"/>
            <rFont val="Tahoma"/>
            <family val="2"/>
          </rPr>
          <t xml:space="preserve">
From Yahoo</t>
        </r>
      </text>
    </comment>
    <comment ref="B8" authorId="0">
      <text>
        <r>
          <rPr>
            <b/>
            <sz val="9"/>
            <color indexed="81"/>
            <rFont val="Tahoma"/>
            <family val="2"/>
          </rPr>
          <t>Jeremy Holcombe:</t>
        </r>
        <r>
          <rPr>
            <sz val="9"/>
            <color indexed="81"/>
            <rFont val="Tahoma"/>
            <family val="2"/>
          </rPr>
          <t xml:space="preserve">
April 5, 2010 (From Yahoo)</t>
        </r>
      </text>
    </comment>
    <comment ref="B9" authorId="0">
      <text>
        <r>
          <rPr>
            <b/>
            <sz val="9"/>
            <color indexed="81"/>
            <rFont val="Tahoma"/>
            <family val="2"/>
          </rPr>
          <t>Jeremy Holcombe:</t>
        </r>
        <r>
          <rPr>
            <sz val="9"/>
            <color indexed="81"/>
            <rFont val="Tahoma"/>
            <family val="2"/>
          </rPr>
          <t xml:space="preserve">
From calculations of beta</t>
        </r>
      </text>
    </comment>
  </commentList>
</comments>
</file>

<file path=xl/comments2.xml><?xml version="1.0" encoding="utf-8"?>
<comments xmlns="http://schemas.openxmlformats.org/spreadsheetml/2006/main">
  <authors>
    <author>Jeremy Holcombe</author>
  </authors>
  <commentList>
    <comment ref="B1" authorId="0">
      <text>
        <r>
          <rPr>
            <b/>
            <sz val="9"/>
            <color indexed="81"/>
            <rFont val="Tahoma"/>
            <family val="2"/>
          </rPr>
          <t>Jeremy Holcombe:</t>
        </r>
        <r>
          <rPr>
            <sz val="9"/>
            <color indexed="81"/>
            <rFont val="Tahoma"/>
            <family val="2"/>
          </rPr>
          <t xml:space="preserve">
Used '08 growth rate because '09 was negative.</t>
        </r>
      </text>
    </comment>
  </commentList>
</comments>
</file>

<file path=xl/sharedStrings.xml><?xml version="1.0" encoding="utf-8"?>
<sst xmlns="http://schemas.openxmlformats.org/spreadsheetml/2006/main" count="241" uniqueCount="167">
  <si>
    <t>PERIOD ENDING</t>
  </si>
  <si>
    <t>Total Revenue</t>
  </si>
  <si>
    <t>Cost of Revenue</t>
  </si>
  <si>
    <t>Gross Profit</t>
  </si>
  <si>
    <t>Operating Expenses</t>
  </si>
  <si>
    <t>Research Development</t>
  </si>
  <si>
    <t>Selling General and Administrative</t>
  </si>
  <si>
    <t>Non Recurring</t>
  </si>
  <si>
    <t>Others</t>
  </si>
  <si>
    <t>Total Operating Expenses</t>
  </si>
  <si>
    <t>Operating Income or Loss</t>
  </si>
  <si>
    <t>Income from Continuing Operations</t>
  </si>
  <si>
    <t>Total Other Income/Expenses Net</t>
  </si>
  <si>
    <t>Earnings Before Interest And Taxes</t>
  </si>
  <si>
    <t>Interest Expense</t>
  </si>
  <si>
    <t>Income Before Tax</t>
  </si>
  <si>
    <t>Income Tax Expense</t>
  </si>
  <si>
    <t>Minority Interest</t>
  </si>
  <si>
    <t>Net Income From Continuing Ops</t>
  </si>
  <si>
    <t>Discontinued Operations</t>
  </si>
  <si>
    <t>Extraordinary Items</t>
  </si>
  <si>
    <t>Effect Of Accounting Changes</t>
  </si>
  <si>
    <t>Other Items</t>
  </si>
  <si>
    <t>Net Income</t>
  </si>
  <si>
    <t>Inputs</t>
  </si>
  <si>
    <t>Risk-Free Rate</t>
  </si>
  <si>
    <t>Market Risk Premium</t>
  </si>
  <si>
    <t>Tax Rate</t>
  </si>
  <si>
    <t>Equity</t>
  </si>
  <si>
    <t>Book Value of Equity (MRQ)</t>
  </si>
  <si>
    <t>Market Price</t>
  </si>
  <si>
    <t>Beta</t>
  </si>
  <si>
    <t>Debt</t>
  </si>
  <si>
    <t>Book Value of Debt</t>
  </si>
  <si>
    <t>Market Value of Debt</t>
  </si>
  <si>
    <t>Cost of Debt - Book</t>
  </si>
  <si>
    <t>Cost of Debt - Market</t>
  </si>
  <si>
    <t>Calculation of Cost of Equity</t>
  </si>
  <si>
    <t>Cost of Equity</t>
  </si>
  <si>
    <t>WACC Calculations</t>
  </si>
  <si>
    <t>Based on Market</t>
  </si>
  <si>
    <t>Value</t>
  </si>
  <si>
    <t>Weight</t>
  </si>
  <si>
    <t>Cost</t>
  </si>
  <si>
    <t>Total</t>
  </si>
  <si>
    <t>WACC</t>
  </si>
  <si>
    <t>Shares Outstanding (thousands)</t>
  </si>
  <si>
    <t>Estimated Sales Growth</t>
  </si>
  <si>
    <t>Dividend Payout Ratio</t>
  </si>
  <si>
    <t>HISTORICAL</t>
  </si>
  <si>
    <t>FORECASTED</t>
  </si>
  <si>
    <t>% of Sales</t>
  </si>
  <si>
    <t>INCOME STATEMENT</t>
  </si>
  <si>
    <t>Dividends Paid</t>
  </si>
  <si>
    <t>Repurchase of Stock</t>
  </si>
  <si>
    <t>Addition to Retained Earnings</t>
  </si>
  <si>
    <t>BALANCE SHEET</t>
  </si>
  <si>
    <t>Assets</t>
  </si>
  <si>
    <t>Current Assets</t>
  </si>
  <si>
    <t>Cash And Cash Equivalents</t>
  </si>
  <si>
    <t>Short Term Investments</t>
  </si>
  <si>
    <t>Net Receivables</t>
  </si>
  <si>
    <t>Inventory</t>
  </si>
  <si>
    <t>Other Current Assets</t>
  </si>
  <si>
    <t>Total Current Assets</t>
  </si>
  <si>
    <t>Long Term Investments</t>
  </si>
  <si>
    <t>Property Plant and Equipment</t>
  </si>
  <si>
    <t>Goodwill</t>
  </si>
  <si>
    <t>Intangible Assets</t>
  </si>
  <si>
    <t>Accumulated Amortization</t>
  </si>
  <si>
    <t>Other Assets</t>
  </si>
  <si>
    <t>Deferred Long Term Asset Charges</t>
  </si>
  <si>
    <t>Total Assets</t>
  </si>
  <si>
    <t>Liabilities</t>
  </si>
  <si>
    <t>Current Liabilities</t>
  </si>
  <si>
    <t>Accounts Payable</t>
  </si>
  <si>
    <t>Short/Current Long Term Debt</t>
  </si>
  <si>
    <t>Other Current Liabilities</t>
  </si>
  <si>
    <t>Total Current Liabilities</t>
  </si>
  <si>
    <t>Long Term Debt</t>
  </si>
  <si>
    <t>Other Liabilities</t>
  </si>
  <si>
    <t>Deferred Long Term Liability Charges</t>
  </si>
  <si>
    <t>Negative Goodwill</t>
  </si>
  <si>
    <t>Total Liabilities</t>
  </si>
  <si>
    <t>Stockholders' Equity</t>
  </si>
  <si>
    <t>Misc Stocks Options Warrants</t>
  </si>
  <si>
    <t>Redeemable Preferred Stock</t>
  </si>
  <si>
    <t>Preferred Stock</t>
  </si>
  <si>
    <t>Common Stock</t>
  </si>
  <si>
    <t>Retained Earnings</t>
  </si>
  <si>
    <t>Treasury Stock</t>
  </si>
  <si>
    <t>Capital Surplus</t>
  </si>
  <si>
    <t>Other Stockholder Equity</t>
  </si>
  <si>
    <t>Total Stockholder Equity</t>
  </si>
  <si>
    <t>Total Liabilities &amp; Equity</t>
  </si>
  <si>
    <t>Difference in A &amp; LE</t>
  </si>
  <si>
    <t>Free Cash Flow</t>
  </si>
  <si>
    <t>Profit after Tax</t>
  </si>
  <si>
    <t>+ After tax Interest</t>
  </si>
  <si>
    <t>- Increase in Current Assets</t>
  </si>
  <si>
    <t>+ Increase in Current Liabilities</t>
  </si>
  <si>
    <t>- Increase in Net Fixed Assets</t>
  </si>
  <si>
    <t>Free Cash Flows of the Firm</t>
  </si>
  <si>
    <t>Cash Flows to Be Discounted</t>
  </si>
  <si>
    <t>Projected</t>
  </si>
  <si>
    <t>Enterprise Value</t>
  </si>
  <si>
    <t>+ Cash</t>
  </si>
  <si>
    <t>- Debt</t>
  </si>
  <si>
    <t>Equity Value of the Firm ($000)</t>
  </si>
  <si>
    <t>Shares Outstanding (k)</t>
  </si>
  <si>
    <t>Share Price of the Firm</t>
  </si>
  <si>
    <t>Sensitivity Analysis</t>
  </si>
  <si>
    <t>LT Growth</t>
  </si>
  <si>
    <t>Long0Term Growth</t>
  </si>
  <si>
    <t>Non0recurring Events</t>
  </si>
  <si>
    <t>Terminal Value</t>
  </si>
  <si>
    <t>Today's Date</t>
  </si>
  <si>
    <t>Bond Symbol</t>
  </si>
  <si>
    <t>Coupon</t>
  </si>
  <si>
    <t>Maturity</t>
  </si>
  <si>
    <t>Callable</t>
  </si>
  <si>
    <t>Moody's</t>
  </si>
  <si>
    <t>S&amp;P</t>
  </si>
  <si>
    <t>Fitch</t>
  </si>
  <si>
    <t>Price</t>
  </si>
  <si>
    <t>Yield</t>
  </si>
  <si>
    <t>Outstanding or Book Value</t>
  </si>
  <si>
    <t>% of Total</t>
  </si>
  <si>
    <t>Book Value Weights</t>
  </si>
  <si>
    <t>Market Value</t>
  </si>
  <si>
    <t>Market Value Weights</t>
  </si>
  <si>
    <t>-</t>
  </si>
  <si>
    <t>No</t>
  </si>
  <si>
    <t>Aa3</t>
  </si>
  <si>
    <t>AA-</t>
  </si>
  <si>
    <t>NR</t>
  </si>
  <si>
    <t>PG.HP</t>
  </si>
  <si>
    <t>Yes</t>
  </si>
  <si>
    <t>PG.HR</t>
  </si>
  <si>
    <t>PG.HL</t>
  </si>
  <si>
    <t>PG.GY</t>
  </si>
  <si>
    <t>PG.HM</t>
  </si>
  <si>
    <t>PG.HQ</t>
  </si>
  <si>
    <t>PG.GU</t>
  </si>
  <si>
    <t>PG.HN</t>
  </si>
  <si>
    <t>PG.GO</t>
  </si>
  <si>
    <t>PG.HE</t>
  </si>
  <si>
    <t>PG.GE</t>
  </si>
  <si>
    <t>PG.GF</t>
  </si>
  <si>
    <t>PG.GB</t>
  </si>
  <si>
    <t>PG.GW</t>
  </si>
  <si>
    <t>PG.GZ</t>
  </si>
  <si>
    <t>PG.HD</t>
  </si>
  <si>
    <t>Book Value</t>
  </si>
  <si>
    <t>Date</t>
  </si>
  <si>
    <t>S&amp;P 500</t>
  </si>
  <si>
    <t>PG</t>
  </si>
  <si>
    <t>S&amp;P 500 Return</t>
  </si>
  <si>
    <t>PG Return</t>
  </si>
  <si>
    <t>Beta from Yahoo</t>
  </si>
  <si>
    <t>Beta from Google</t>
  </si>
  <si>
    <t>Beta from equation</t>
  </si>
  <si>
    <t>Covar</t>
  </si>
  <si>
    <t>Variance</t>
  </si>
  <si>
    <t>CAPM</t>
  </si>
  <si>
    <t>Risk Free</t>
  </si>
  <si>
    <t>PG return</t>
  </si>
</sst>
</file>

<file path=xl/styles.xml><?xml version="1.0" encoding="utf-8"?>
<styleSheet xmlns="http://schemas.openxmlformats.org/spreadsheetml/2006/main">
  <numFmts count="10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000"/>
    <numFmt numFmtId="166" formatCode="0.0%"/>
    <numFmt numFmtId="167" formatCode="_(&quot;$&quot;* #,##0_);_(&quot;$&quot;* \(#,##0\);_(&quot;$&quot;* &quot;-&quot;??_);_(@_)"/>
    <numFmt numFmtId="168" formatCode="0.000"/>
    <numFmt numFmtId="169" formatCode="0.00000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name val="Arial"/>
      <family val="2"/>
    </font>
    <font>
      <sz val="10"/>
      <name val="Arial"/>
      <family val="2"/>
    </font>
    <font>
      <sz val="8"/>
      <color theme="1"/>
      <name val="Calibri"/>
      <family val="2"/>
      <scheme val="minor"/>
    </font>
    <font>
      <sz val="8"/>
      <color theme="1"/>
      <name val="Arial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A2BD90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C0C0C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4" fillId="0" borderId="0" applyFont="0" applyFill="0" applyBorder="0" applyAlignment="0" applyProtection="0"/>
  </cellStyleXfs>
  <cellXfs count="65">
    <xf numFmtId="0" fontId="0" fillId="0" borderId="0" xfId="0"/>
    <xf numFmtId="3" fontId="0" fillId="0" borderId="0" xfId="0" applyNumberFormat="1"/>
    <xf numFmtId="43" fontId="0" fillId="0" borderId="0" xfId="1" applyFont="1"/>
    <xf numFmtId="0" fontId="3" fillId="0" borderId="0" xfId="0" applyFont="1"/>
    <xf numFmtId="0" fontId="4" fillId="0" borderId="0" xfId="0" applyFont="1"/>
    <xf numFmtId="10" fontId="4" fillId="0" borderId="0" xfId="0" applyNumberFormat="1" applyFont="1"/>
    <xf numFmtId="0" fontId="5" fillId="0" borderId="0" xfId="0" applyFont="1"/>
    <xf numFmtId="0" fontId="4" fillId="0" borderId="0" xfId="0" applyFont="1" applyAlignment="1">
      <alignment horizontal="left" indent="1"/>
    </xf>
    <xf numFmtId="164" fontId="4" fillId="0" borderId="0" xfId="0" applyNumberFormat="1" applyFont="1"/>
    <xf numFmtId="44" fontId="4" fillId="0" borderId="0" xfId="0" applyNumberFormat="1" applyFont="1"/>
    <xf numFmtId="165" fontId="4" fillId="0" borderId="0" xfId="0" applyNumberFormat="1" applyFont="1"/>
    <xf numFmtId="0" fontId="5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166" fontId="4" fillId="0" borderId="0" xfId="0" applyNumberFormat="1" applyFont="1"/>
    <xf numFmtId="164" fontId="4" fillId="0" borderId="1" xfId="0" applyNumberFormat="1" applyFont="1" applyBorder="1"/>
    <xf numFmtId="166" fontId="4" fillId="0" borderId="1" xfId="0" applyNumberFormat="1" applyFont="1" applyBorder="1"/>
    <xf numFmtId="0" fontId="6" fillId="0" borderId="0" xfId="0" applyFont="1" applyAlignment="1">
      <alignment horizontal="left" indent="1"/>
    </xf>
    <xf numFmtId="0" fontId="6" fillId="0" borderId="0" xfId="0" applyFont="1"/>
    <xf numFmtId="10" fontId="6" fillId="0" borderId="0" xfId="0" applyNumberFormat="1" applyFont="1"/>
    <xf numFmtId="0" fontId="6" fillId="0" borderId="1" xfId="0" applyFont="1" applyBorder="1" applyAlignment="1">
      <alignment horizontal="center"/>
    </xf>
    <xf numFmtId="15" fontId="6" fillId="0" borderId="1" xfId="0" applyNumberFormat="1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15" fontId="6" fillId="0" borderId="0" xfId="0" applyNumberFormat="1" applyFont="1" applyAlignment="1">
      <alignment horizontal="center"/>
    </xf>
    <xf numFmtId="167" fontId="4" fillId="0" borderId="0" xfId="0" applyNumberFormat="1" applyFont="1"/>
    <xf numFmtId="167" fontId="4" fillId="0" borderId="1" xfId="0" applyNumberFormat="1" applyFont="1" applyBorder="1"/>
    <xf numFmtId="0" fontId="5" fillId="0" borderId="0" xfId="0" applyFont="1" applyAlignment="1">
      <alignment horizontal="left" indent="1"/>
    </xf>
    <xf numFmtId="167" fontId="6" fillId="0" borderId="0" xfId="0" applyNumberFormat="1" applyFont="1"/>
    <xf numFmtId="167" fontId="6" fillId="0" borderId="1" xfId="0" applyNumberFormat="1" applyFont="1" applyBorder="1"/>
    <xf numFmtId="0" fontId="9" fillId="0" borderId="0" xfId="0" applyFont="1"/>
    <xf numFmtId="0" fontId="4" fillId="0" borderId="1" xfId="0" applyFont="1" applyBorder="1"/>
    <xf numFmtId="6" fontId="4" fillId="0" borderId="0" xfId="0" applyNumberFormat="1" applyFont="1"/>
    <xf numFmtId="0" fontId="10" fillId="0" borderId="0" xfId="0" applyFont="1" applyAlignment="1">
      <alignment horizontal="left" indent="1"/>
    </xf>
    <xf numFmtId="44" fontId="6" fillId="0" borderId="0" xfId="0" applyNumberFormat="1" applyFont="1"/>
    <xf numFmtId="0" fontId="6" fillId="3" borderId="0" xfId="0" applyFont="1" applyFill="1"/>
    <xf numFmtId="10" fontId="4" fillId="4" borderId="1" xfId="0" applyNumberFormat="1" applyFont="1" applyFill="1" applyBorder="1" applyAlignment="1">
      <alignment horizontal="center"/>
    </xf>
    <xf numFmtId="10" fontId="6" fillId="0" borderId="0" xfId="0" applyNumberFormat="1" applyFont="1" applyAlignment="1">
      <alignment horizontal="right"/>
    </xf>
    <xf numFmtId="10" fontId="4" fillId="4" borderId="2" xfId="0" applyNumberFormat="1" applyFont="1" applyFill="1" applyBorder="1"/>
    <xf numFmtId="3" fontId="2" fillId="0" borderId="0" xfId="0" applyNumberFormat="1" applyFont="1"/>
    <xf numFmtId="49" fontId="4" fillId="0" borderId="0" xfId="0" applyNumberFormat="1" applyFont="1" applyAlignment="1">
      <alignment horizontal="left" indent="1"/>
    </xf>
    <xf numFmtId="49" fontId="9" fillId="0" borderId="0" xfId="0" applyNumberFormat="1" applyFont="1"/>
    <xf numFmtId="14" fontId="2" fillId="0" borderId="0" xfId="0" applyNumberFormat="1" applyFont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11" fillId="0" borderId="0" xfId="0" applyFont="1"/>
    <xf numFmtId="0" fontId="12" fillId="0" borderId="0" xfId="0" applyFont="1" applyAlignment="1">
      <alignment horizontal="left" wrapText="1" indent="2"/>
    </xf>
    <xf numFmtId="14" fontId="12" fillId="0" borderId="0" xfId="0" applyNumberFormat="1" applyFont="1" applyAlignment="1">
      <alignment horizontal="left" wrapText="1" indent="2"/>
    </xf>
    <xf numFmtId="168" fontId="12" fillId="0" borderId="0" xfId="0" applyNumberFormat="1" applyFont="1" applyAlignment="1">
      <alignment horizontal="left" wrapText="1" indent="2"/>
    </xf>
    <xf numFmtId="8" fontId="11" fillId="0" borderId="0" xfId="0" applyNumberFormat="1" applyFont="1"/>
    <xf numFmtId="8" fontId="0" fillId="0" borderId="0" xfId="0" applyNumberFormat="1"/>
    <xf numFmtId="9" fontId="0" fillId="0" borderId="0" xfId="2" applyFont="1"/>
    <xf numFmtId="0" fontId="13" fillId="0" borderId="1" xfId="0" applyFont="1" applyBorder="1" applyAlignment="1">
      <alignment horizontal="center" wrapText="1"/>
    </xf>
    <xf numFmtId="10" fontId="13" fillId="0" borderId="1" xfId="3" applyNumberFormat="1" applyFont="1" applyBorder="1" applyAlignment="1">
      <alignment horizontal="center" wrapText="1"/>
    </xf>
    <xf numFmtId="0" fontId="0" fillId="0" borderId="0" xfId="0" applyAlignment="1">
      <alignment horizontal="center" wrapText="1"/>
    </xf>
    <xf numFmtId="14" fontId="0" fillId="0" borderId="0" xfId="0" applyNumberFormat="1"/>
    <xf numFmtId="10" fontId="14" fillId="0" borderId="0" xfId="3" applyNumberFormat="1" applyFont="1"/>
    <xf numFmtId="0" fontId="13" fillId="0" borderId="3" xfId="0" applyFont="1" applyBorder="1"/>
    <xf numFmtId="169" fontId="13" fillId="0" borderId="3" xfId="0" applyNumberFormat="1" applyFont="1" applyBorder="1"/>
    <xf numFmtId="10" fontId="13" fillId="0" borderId="3" xfId="0" applyNumberFormat="1" applyFont="1" applyBorder="1"/>
    <xf numFmtId="0" fontId="13" fillId="0" borderId="4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6" fillId="5" borderId="0" xfId="0" applyFont="1" applyFill="1" applyAlignment="1">
      <alignment horizontal="center"/>
    </xf>
    <xf numFmtId="0" fontId="6" fillId="3" borderId="0" xfId="0" applyFont="1" applyFill="1" applyAlignment="1">
      <alignment horizontal="center"/>
    </xf>
  </cellXfs>
  <cellStyles count="4">
    <cellStyle name="Comma" xfId="1" builtinId="3"/>
    <cellStyle name="Normal" xfId="0" builtinId="0"/>
    <cellStyle name="Percent" xfId="2" builtinId="5"/>
    <cellStyle name="Percent 2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>
        <c:manualLayout>
          <c:layoutTarget val="inner"/>
          <c:xMode val="edge"/>
          <c:yMode val="edge"/>
          <c:x val="7.6256563664905075E-2"/>
          <c:y val="6.8235294117647102E-2"/>
          <c:w val="0.6793766581055185"/>
          <c:h val="0.83294117647058907"/>
        </c:manualLayout>
      </c:layout>
      <c:scatterChart>
        <c:scatterStyle val="lineMarker"/>
        <c:ser>
          <c:idx val="0"/>
          <c:order val="0"/>
          <c:spPr>
            <a:ln w="28575">
              <a:noFill/>
            </a:ln>
          </c:spPr>
          <c:marker>
            <c:spPr>
              <a:solidFill>
                <a:srgbClr val="4F81BD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trendline>
            <c:spPr>
              <a:ln w="3175">
                <a:solidFill>
                  <a:srgbClr val="000000"/>
                </a:solidFill>
                <a:prstDash val="solid"/>
              </a:ln>
            </c:spPr>
            <c:trendlineType val="linear"/>
            <c:dispRSqr val="1"/>
            <c:dispEq val="1"/>
            <c:trendlineLbl>
              <c:layout>
                <c:manualLayout>
                  <c:x val="0.10014289229471313"/>
                  <c:y val="0.4336854621360251"/>
                </c:manualLayout>
              </c:layout>
              <c:numFmt formatCode="General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</c:trendlineLbl>
          </c:trendline>
          <c:xVal>
            <c:numRef>
              <c:f>Beta!$D$4:$D$39</c:f>
              <c:numCache>
                <c:formatCode>0.00%</c:formatCode>
                <c:ptCount val="36"/>
                <c:pt idx="0">
                  <c:v>1.4059084819854795E-2</c:v>
                </c:pt>
                <c:pt idx="1">
                  <c:v>-2.1846145288686222E-2</c:v>
                </c:pt>
                <c:pt idx="2">
                  <c:v>9.9799547916577559E-3</c:v>
                </c:pt>
                <c:pt idx="3">
                  <c:v>4.3290683107413817E-2</c:v>
                </c:pt>
                <c:pt idx="4">
                  <c:v>3.2549228600147063E-2</c:v>
                </c:pt>
                <c:pt idx="5">
                  <c:v>-1.7816309730697352E-2</c:v>
                </c:pt>
                <c:pt idx="6">
                  <c:v>-3.1981907074200906E-2</c:v>
                </c:pt>
                <c:pt idx="7">
                  <c:v>1.2863592323074088E-2</c:v>
                </c:pt>
                <c:pt idx="8">
                  <c:v>3.5794001316155462E-2</c:v>
                </c:pt>
                <c:pt idx="9">
                  <c:v>1.4822335025380782E-2</c:v>
                </c:pt>
                <c:pt idx="10">
                  <c:v>-4.4043423821141361E-2</c:v>
                </c:pt>
                <c:pt idx="11">
                  <c:v>-8.6284888666839053E-3</c:v>
                </c:pt>
                <c:pt idx="12">
                  <c:v>-6.1163474897164151E-2</c:v>
                </c:pt>
                <c:pt idx="13">
                  <c:v>-3.4761162090602336E-2</c:v>
                </c:pt>
                <c:pt idx="14">
                  <c:v>-5.9595830546433368E-3</c:v>
                </c:pt>
                <c:pt idx="15">
                  <c:v>4.7546684811370581E-2</c:v>
                </c:pt>
                <c:pt idx="16">
                  <c:v>1.067415324879668E-2</c:v>
                </c:pt>
                <c:pt idx="17">
                  <c:v>-8.5962381639269406E-2</c:v>
                </c:pt>
                <c:pt idx="18">
                  <c:v>-9.8593749999999151E-3</c:v>
                </c:pt>
                <c:pt idx="19">
                  <c:v>1.2190503242910426E-2</c:v>
                </c:pt>
                <c:pt idx="20">
                  <c:v>-9.0791453271283046E-2</c:v>
                </c:pt>
                <c:pt idx="21">
                  <c:v>-0.16942453444905511</c:v>
                </c:pt>
                <c:pt idx="22">
                  <c:v>-7.484903225806451E-2</c:v>
                </c:pt>
                <c:pt idx="23">
                  <c:v>7.8215656520574748E-3</c:v>
                </c:pt>
                <c:pt idx="24">
                  <c:v>-8.5657348463880442E-2</c:v>
                </c:pt>
                <c:pt idx="25">
                  <c:v>-0.10993122487528451</c:v>
                </c:pt>
                <c:pt idx="26">
                  <c:v>8.5404508291501674E-2</c:v>
                </c:pt>
                <c:pt idx="27">
                  <c:v>9.3925075513554765E-2</c:v>
                </c:pt>
                <c:pt idx="28">
                  <c:v>5.3081426656431577E-2</c:v>
                </c:pt>
                <c:pt idx="29">
                  <c:v>1.9583523728709844E-4</c:v>
                </c:pt>
                <c:pt idx="30">
                  <c:v>7.4141756950789672E-2</c:v>
                </c:pt>
                <c:pt idx="31">
                  <c:v>3.3560173370599897E-2</c:v>
                </c:pt>
                <c:pt idx="32">
                  <c:v>3.5723383825517749E-2</c:v>
                </c:pt>
                <c:pt idx="33">
                  <c:v>-1.976198584780705E-2</c:v>
                </c:pt>
                <c:pt idx="34">
                  <c:v>5.7363996950366293E-2</c:v>
                </c:pt>
                <c:pt idx="35">
                  <c:v>1.7770597738287375E-2</c:v>
                </c:pt>
              </c:numCache>
            </c:numRef>
          </c:xVal>
          <c:yVal>
            <c:numRef>
              <c:f>Beta!$E$4:$E$39</c:f>
              <c:numCache>
                <c:formatCode>0.00%</c:formatCode>
                <c:ptCount val="36"/>
                <c:pt idx="0">
                  <c:v>1.419398445420756E-2</c:v>
                </c:pt>
                <c:pt idx="1">
                  <c:v>-2.132622459180275E-2</c:v>
                </c:pt>
                <c:pt idx="2">
                  <c:v>-5.107252298263607E-3</c:v>
                </c:pt>
                <c:pt idx="3">
                  <c:v>2.5154004106776161E-2</c:v>
                </c:pt>
                <c:pt idx="4">
                  <c:v>-1.318644633617091E-2</c:v>
                </c:pt>
                <c:pt idx="5">
                  <c:v>-3.704330175913393E-2</c:v>
                </c:pt>
                <c:pt idx="6">
                  <c:v>1.6511505357456487E-2</c:v>
                </c:pt>
                <c:pt idx="7">
                  <c:v>5.5814757214446245E-2</c:v>
                </c:pt>
                <c:pt idx="8">
                  <c:v>7.7086743044189859E-2</c:v>
                </c:pt>
                <c:pt idx="9">
                  <c:v>-6.8378665856253275E-3</c:v>
                </c:pt>
                <c:pt idx="10">
                  <c:v>6.4412484700122299E-2</c:v>
                </c:pt>
                <c:pt idx="11">
                  <c:v>-7.7619663648123057E-3</c:v>
                </c:pt>
                <c:pt idx="12">
                  <c:v>-0.10444734173547734</c:v>
                </c:pt>
                <c:pt idx="13">
                  <c:v>1.1646716273050774E-2</c:v>
                </c:pt>
                <c:pt idx="14">
                  <c:v>5.8682443236328666E-2</c:v>
                </c:pt>
                <c:pt idx="15">
                  <c:v>-3.7607612143180716E-2</c:v>
                </c:pt>
                <c:pt idx="16">
                  <c:v>-1.4908976773383487E-2</c:v>
                </c:pt>
                <c:pt idx="17">
                  <c:v>-7.9337263023737517E-2</c:v>
                </c:pt>
                <c:pt idx="18">
                  <c:v>8.3578473784391732E-2</c:v>
                </c:pt>
                <c:pt idx="19">
                  <c:v>6.5474289364420332E-2</c:v>
                </c:pt>
                <c:pt idx="20">
                  <c:v>-1.1990407673860657E-3</c:v>
                </c:pt>
                <c:pt idx="21">
                  <c:v>-6.7977190876350554E-2</c:v>
                </c:pt>
                <c:pt idx="22">
                  <c:v>-2.8980840444372841E-3</c:v>
                </c:pt>
                <c:pt idx="23">
                  <c:v>-3.923784918456321E-2</c:v>
                </c:pt>
                <c:pt idx="24">
                  <c:v>-0.11226890756302521</c:v>
                </c:pt>
                <c:pt idx="25">
                  <c:v>-0.11624384702764105</c:v>
                </c:pt>
                <c:pt idx="26">
                  <c:v>-2.227934875749784E-2</c:v>
                </c:pt>
                <c:pt idx="27">
                  <c:v>5.8939526730937726E-2</c:v>
                </c:pt>
                <c:pt idx="28">
                  <c:v>5.0486240430374613E-2</c:v>
                </c:pt>
                <c:pt idx="29">
                  <c:v>-1.615127043529644E-2</c:v>
                </c:pt>
                <c:pt idx="30">
                  <c:v>9.5095095095095089E-2</c:v>
                </c:pt>
                <c:pt idx="31">
                  <c:v>-2.5228519195612475E-2</c:v>
                </c:pt>
                <c:pt idx="32">
                  <c:v>7.0330082520630152E-2</c:v>
                </c:pt>
                <c:pt idx="33">
                  <c:v>9.111617312072948E-3</c:v>
                </c:pt>
                <c:pt idx="34">
                  <c:v>7.5013023094287076E-2</c:v>
                </c:pt>
                <c:pt idx="35">
                  <c:v>-2.7620739783556676E-2</c:v>
                </c:pt>
              </c:numCache>
            </c:numRef>
          </c:yVal>
        </c:ser>
        <c:axId val="71511424"/>
        <c:axId val="71525504"/>
      </c:scatterChart>
      <c:valAx>
        <c:axId val="71511424"/>
        <c:scaling>
          <c:orientation val="minMax"/>
        </c:scaling>
        <c:axPos val="b"/>
        <c:numFmt formatCode="0.00%" sourceLinked="1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1525504"/>
        <c:crosses val="autoZero"/>
        <c:crossBetween val="midCat"/>
      </c:valAx>
      <c:valAx>
        <c:axId val="71525504"/>
        <c:scaling>
          <c:orientation val="minMax"/>
        </c:scaling>
        <c:axPos val="l"/>
        <c:numFmt formatCode="0.00%" sourceLinked="1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1511424"/>
        <c:crosses val="autoZero"/>
        <c:crossBetween val="midCat"/>
      </c:valAx>
      <c:spPr>
        <a:solidFill>
          <a:srgbClr val="FFFFFF"/>
        </a:solidFill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 alignWithMargins="0"/>
    <c:pageMargins b="0.75000000000000033" l="0.70000000000000029" r="0.70000000000000029" t="0.75000000000000033" header="0.30000000000000016" footer="0.30000000000000016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400050</xdr:colOff>
      <xdr:row>2</xdr:row>
      <xdr:rowOff>152400</xdr:rowOff>
    </xdr:from>
    <xdr:to>
      <xdr:col>13</xdr:col>
      <xdr:colOff>209550</xdr:colOff>
      <xdr:row>24</xdr:row>
      <xdr:rowOff>9525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hyperlink" Target="javascript:__doPostBack('ctl00$cphMain$BondScreenerResults$gvResult','Sort$Coupon')" TargetMode="External"/><Relationship Id="rId1" Type="http://schemas.openxmlformats.org/officeDocument/2006/relationships/hyperlink" Target="javascript:__doPostBack('ctl00$cphMain$BondScreenerResults$gvResult','Sort$Ticker')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40"/>
  <sheetViews>
    <sheetView workbookViewId="0">
      <selection activeCell="G28" sqref="G28:H37"/>
    </sheetView>
  </sheetViews>
  <sheetFormatPr defaultColWidth="8.85546875" defaultRowHeight="15"/>
  <cols>
    <col min="1" max="1" width="9.7109375" bestFit="1" customWidth="1"/>
    <col min="4" max="4" width="10.42578125" style="56" customWidth="1"/>
    <col min="5" max="5" width="9.85546875" style="56" bestFit="1" customWidth="1"/>
    <col min="7" max="7" width="20.140625" bestFit="1" customWidth="1"/>
    <col min="8" max="8" width="12" bestFit="1" customWidth="1"/>
    <col min="257" max="257" width="9.7109375" bestFit="1" customWidth="1"/>
    <col min="260" max="260" width="10.42578125" customWidth="1"/>
    <col min="261" max="261" width="9.85546875" bestFit="1" customWidth="1"/>
    <col min="263" max="263" width="20.140625" bestFit="1" customWidth="1"/>
    <col min="264" max="264" width="12" bestFit="1" customWidth="1"/>
    <col min="513" max="513" width="9.7109375" bestFit="1" customWidth="1"/>
    <col min="516" max="516" width="10.42578125" customWidth="1"/>
    <col min="517" max="517" width="9.85546875" bestFit="1" customWidth="1"/>
    <col min="519" max="519" width="20.140625" bestFit="1" customWidth="1"/>
    <col min="520" max="520" width="12" bestFit="1" customWidth="1"/>
    <col min="769" max="769" width="9.7109375" bestFit="1" customWidth="1"/>
    <col min="772" max="772" width="10.42578125" customWidth="1"/>
    <col min="773" max="773" width="9.85546875" bestFit="1" customWidth="1"/>
    <col min="775" max="775" width="20.140625" bestFit="1" customWidth="1"/>
    <col min="776" max="776" width="12" bestFit="1" customWidth="1"/>
    <col min="1025" max="1025" width="9.7109375" bestFit="1" customWidth="1"/>
    <col min="1028" max="1028" width="10.42578125" customWidth="1"/>
    <col min="1029" max="1029" width="9.85546875" bestFit="1" customWidth="1"/>
    <col min="1031" max="1031" width="20.140625" bestFit="1" customWidth="1"/>
    <col min="1032" max="1032" width="12" bestFit="1" customWidth="1"/>
    <col min="1281" max="1281" width="9.7109375" bestFit="1" customWidth="1"/>
    <col min="1284" max="1284" width="10.42578125" customWidth="1"/>
    <col min="1285" max="1285" width="9.85546875" bestFit="1" customWidth="1"/>
    <col min="1287" max="1287" width="20.140625" bestFit="1" customWidth="1"/>
    <col min="1288" max="1288" width="12" bestFit="1" customWidth="1"/>
    <col min="1537" max="1537" width="9.7109375" bestFit="1" customWidth="1"/>
    <col min="1540" max="1540" width="10.42578125" customWidth="1"/>
    <col min="1541" max="1541" width="9.85546875" bestFit="1" customWidth="1"/>
    <col min="1543" max="1543" width="20.140625" bestFit="1" customWidth="1"/>
    <col min="1544" max="1544" width="12" bestFit="1" customWidth="1"/>
    <col min="1793" max="1793" width="9.7109375" bestFit="1" customWidth="1"/>
    <col min="1796" max="1796" width="10.42578125" customWidth="1"/>
    <col min="1797" max="1797" width="9.85546875" bestFit="1" customWidth="1"/>
    <col min="1799" max="1799" width="20.140625" bestFit="1" customWidth="1"/>
    <col min="1800" max="1800" width="12" bestFit="1" customWidth="1"/>
    <col min="2049" max="2049" width="9.7109375" bestFit="1" customWidth="1"/>
    <col min="2052" max="2052" width="10.42578125" customWidth="1"/>
    <col min="2053" max="2053" width="9.85546875" bestFit="1" customWidth="1"/>
    <col min="2055" max="2055" width="20.140625" bestFit="1" customWidth="1"/>
    <col min="2056" max="2056" width="12" bestFit="1" customWidth="1"/>
    <col min="2305" max="2305" width="9.7109375" bestFit="1" customWidth="1"/>
    <col min="2308" max="2308" width="10.42578125" customWidth="1"/>
    <col min="2309" max="2309" width="9.85546875" bestFit="1" customWidth="1"/>
    <col min="2311" max="2311" width="20.140625" bestFit="1" customWidth="1"/>
    <col min="2312" max="2312" width="12" bestFit="1" customWidth="1"/>
    <col min="2561" max="2561" width="9.7109375" bestFit="1" customWidth="1"/>
    <col min="2564" max="2564" width="10.42578125" customWidth="1"/>
    <col min="2565" max="2565" width="9.85546875" bestFit="1" customWidth="1"/>
    <col min="2567" max="2567" width="20.140625" bestFit="1" customWidth="1"/>
    <col min="2568" max="2568" width="12" bestFit="1" customWidth="1"/>
    <col min="2817" max="2817" width="9.7109375" bestFit="1" customWidth="1"/>
    <col min="2820" max="2820" width="10.42578125" customWidth="1"/>
    <col min="2821" max="2821" width="9.85546875" bestFit="1" customWidth="1"/>
    <col min="2823" max="2823" width="20.140625" bestFit="1" customWidth="1"/>
    <col min="2824" max="2824" width="12" bestFit="1" customWidth="1"/>
    <col min="3073" max="3073" width="9.7109375" bestFit="1" customWidth="1"/>
    <col min="3076" max="3076" width="10.42578125" customWidth="1"/>
    <col min="3077" max="3077" width="9.85546875" bestFit="1" customWidth="1"/>
    <col min="3079" max="3079" width="20.140625" bestFit="1" customWidth="1"/>
    <col min="3080" max="3080" width="12" bestFit="1" customWidth="1"/>
    <col min="3329" max="3329" width="9.7109375" bestFit="1" customWidth="1"/>
    <col min="3332" max="3332" width="10.42578125" customWidth="1"/>
    <col min="3333" max="3333" width="9.85546875" bestFit="1" customWidth="1"/>
    <col min="3335" max="3335" width="20.140625" bestFit="1" customWidth="1"/>
    <col min="3336" max="3336" width="12" bestFit="1" customWidth="1"/>
    <col min="3585" max="3585" width="9.7109375" bestFit="1" customWidth="1"/>
    <col min="3588" max="3588" width="10.42578125" customWidth="1"/>
    <col min="3589" max="3589" width="9.85546875" bestFit="1" customWidth="1"/>
    <col min="3591" max="3591" width="20.140625" bestFit="1" customWidth="1"/>
    <col min="3592" max="3592" width="12" bestFit="1" customWidth="1"/>
    <col min="3841" max="3841" width="9.7109375" bestFit="1" customWidth="1"/>
    <col min="3844" max="3844" width="10.42578125" customWidth="1"/>
    <col min="3845" max="3845" width="9.85546875" bestFit="1" customWidth="1"/>
    <col min="3847" max="3847" width="20.140625" bestFit="1" customWidth="1"/>
    <col min="3848" max="3848" width="12" bestFit="1" customWidth="1"/>
    <col min="4097" max="4097" width="9.7109375" bestFit="1" customWidth="1"/>
    <col min="4100" max="4100" width="10.42578125" customWidth="1"/>
    <col min="4101" max="4101" width="9.85546875" bestFit="1" customWidth="1"/>
    <col min="4103" max="4103" width="20.140625" bestFit="1" customWidth="1"/>
    <col min="4104" max="4104" width="12" bestFit="1" customWidth="1"/>
    <col min="4353" max="4353" width="9.7109375" bestFit="1" customWidth="1"/>
    <col min="4356" max="4356" width="10.42578125" customWidth="1"/>
    <col min="4357" max="4357" width="9.85546875" bestFit="1" customWidth="1"/>
    <col min="4359" max="4359" width="20.140625" bestFit="1" customWidth="1"/>
    <col min="4360" max="4360" width="12" bestFit="1" customWidth="1"/>
    <col min="4609" max="4609" width="9.7109375" bestFit="1" customWidth="1"/>
    <col min="4612" max="4612" width="10.42578125" customWidth="1"/>
    <col min="4613" max="4613" width="9.85546875" bestFit="1" customWidth="1"/>
    <col min="4615" max="4615" width="20.140625" bestFit="1" customWidth="1"/>
    <col min="4616" max="4616" width="12" bestFit="1" customWidth="1"/>
    <col min="4865" max="4865" width="9.7109375" bestFit="1" customWidth="1"/>
    <col min="4868" max="4868" width="10.42578125" customWidth="1"/>
    <col min="4869" max="4869" width="9.85546875" bestFit="1" customWidth="1"/>
    <col min="4871" max="4871" width="20.140625" bestFit="1" customWidth="1"/>
    <col min="4872" max="4872" width="12" bestFit="1" customWidth="1"/>
    <col min="5121" max="5121" width="9.7109375" bestFit="1" customWidth="1"/>
    <col min="5124" max="5124" width="10.42578125" customWidth="1"/>
    <col min="5125" max="5125" width="9.85546875" bestFit="1" customWidth="1"/>
    <col min="5127" max="5127" width="20.140625" bestFit="1" customWidth="1"/>
    <col min="5128" max="5128" width="12" bestFit="1" customWidth="1"/>
    <col min="5377" max="5377" width="9.7109375" bestFit="1" customWidth="1"/>
    <col min="5380" max="5380" width="10.42578125" customWidth="1"/>
    <col min="5381" max="5381" width="9.85546875" bestFit="1" customWidth="1"/>
    <col min="5383" max="5383" width="20.140625" bestFit="1" customWidth="1"/>
    <col min="5384" max="5384" width="12" bestFit="1" customWidth="1"/>
    <col min="5633" max="5633" width="9.7109375" bestFit="1" customWidth="1"/>
    <col min="5636" max="5636" width="10.42578125" customWidth="1"/>
    <col min="5637" max="5637" width="9.85546875" bestFit="1" customWidth="1"/>
    <col min="5639" max="5639" width="20.140625" bestFit="1" customWidth="1"/>
    <col min="5640" max="5640" width="12" bestFit="1" customWidth="1"/>
    <col min="5889" max="5889" width="9.7109375" bestFit="1" customWidth="1"/>
    <col min="5892" max="5892" width="10.42578125" customWidth="1"/>
    <col min="5893" max="5893" width="9.85546875" bestFit="1" customWidth="1"/>
    <col min="5895" max="5895" width="20.140625" bestFit="1" customWidth="1"/>
    <col min="5896" max="5896" width="12" bestFit="1" customWidth="1"/>
    <col min="6145" max="6145" width="9.7109375" bestFit="1" customWidth="1"/>
    <col min="6148" max="6148" width="10.42578125" customWidth="1"/>
    <col min="6149" max="6149" width="9.85546875" bestFit="1" customWidth="1"/>
    <col min="6151" max="6151" width="20.140625" bestFit="1" customWidth="1"/>
    <col min="6152" max="6152" width="12" bestFit="1" customWidth="1"/>
    <col min="6401" max="6401" width="9.7109375" bestFit="1" customWidth="1"/>
    <col min="6404" max="6404" width="10.42578125" customWidth="1"/>
    <col min="6405" max="6405" width="9.85546875" bestFit="1" customWidth="1"/>
    <col min="6407" max="6407" width="20.140625" bestFit="1" customWidth="1"/>
    <col min="6408" max="6408" width="12" bestFit="1" customWidth="1"/>
    <col min="6657" max="6657" width="9.7109375" bestFit="1" customWidth="1"/>
    <col min="6660" max="6660" width="10.42578125" customWidth="1"/>
    <col min="6661" max="6661" width="9.85546875" bestFit="1" customWidth="1"/>
    <col min="6663" max="6663" width="20.140625" bestFit="1" customWidth="1"/>
    <col min="6664" max="6664" width="12" bestFit="1" customWidth="1"/>
    <col min="6913" max="6913" width="9.7109375" bestFit="1" customWidth="1"/>
    <col min="6916" max="6916" width="10.42578125" customWidth="1"/>
    <col min="6917" max="6917" width="9.85546875" bestFit="1" customWidth="1"/>
    <col min="6919" max="6919" width="20.140625" bestFit="1" customWidth="1"/>
    <col min="6920" max="6920" width="12" bestFit="1" customWidth="1"/>
    <col min="7169" max="7169" width="9.7109375" bestFit="1" customWidth="1"/>
    <col min="7172" max="7172" width="10.42578125" customWidth="1"/>
    <col min="7173" max="7173" width="9.85546875" bestFit="1" customWidth="1"/>
    <col min="7175" max="7175" width="20.140625" bestFit="1" customWidth="1"/>
    <col min="7176" max="7176" width="12" bestFit="1" customWidth="1"/>
    <col min="7425" max="7425" width="9.7109375" bestFit="1" customWidth="1"/>
    <col min="7428" max="7428" width="10.42578125" customWidth="1"/>
    <col min="7429" max="7429" width="9.85546875" bestFit="1" customWidth="1"/>
    <col min="7431" max="7431" width="20.140625" bestFit="1" customWidth="1"/>
    <col min="7432" max="7432" width="12" bestFit="1" customWidth="1"/>
    <col min="7681" max="7681" width="9.7109375" bestFit="1" customWidth="1"/>
    <col min="7684" max="7684" width="10.42578125" customWidth="1"/>
    <col min="7685" max="7685" width="9.85546875" bestFit="1" customWidth="1"/>
    <col min="7687" max="7687" width="20.140625" bestFit="1" customWidth="1"/>
    <col min="7688" max="7688" width="12" bestFit="1" customWidth="1"/>
    <col min="7937" max="7937" width="9.7109375" bestFit="1" customWidth="1"/>
    <col min="7940" max="7940" width="10.42578125" customWidth="1"/>
    <col min="7941" max="7941" width="9.85546875" bestFit="1" customWidth="1"/>
    <col min="7943" max="7943" width="20.140625" bestFit="1" customWidth="1"/>
    <col min="7944" max="7944" width="12" bestFit="1" customWidth="1"/>
    <col min="8193" max="8193" width="9.7109375" bestFit="1" customWidth="1"/>
    <col min="8196" max="8196" width="10.42578125" customWidth="1"/>
    <col min="8197" max="8197" width="9.85546875" bestFit="1" customWidth="1"/>
    <col min="8199" max="8199" width="20.140625" bestFit="1" customWidth="1"/>
    <col min="8200" max="8200" width="12" bestFit="1" customWidth="1"/>
    <col min="8449" max="8449" width="9.7109375" bestFit="1" customWidth="1"/>
    <col min="8452" max="8452" width="10.42578125" customWidth="1"/>
    <col min="8453" max="8453" width="9.85546875" bestFit="1" customWidth="1"/>
    <col min="8455" max="8455" width="20.140625" bestFit="1" customWidth="1"/>
    <col min="8456" max="8456" width="12" bestFit="1" customWidth="1"/>
    <col min="8705" max="8705" width="9.7109375" bestFit="1" customWidth="1"/>
    <col min="8708" max="8708" width="10.42578125" customWidth="1"/>
    <col min="8709" max="8709" width="9.85546875" bestFit="1" customWidth="1"/>
    <col min="8711" max="8711" width="20.140625" bestFit="1" customWidth="1"/>
    <col min="8712" max="8712" width="12" bestFit="1" customWidth="1"/>
    <col min="8961" max="8961" width="9.7109375" bestFit="1" customWidth="1"/>
    <col min="8964" max="8964" width="10.42578125" customWidth="1"/>
    <col min="8965" max="8965" width="9.85546875" bestFit="1" customWidth="1"/>
    <col min="8967" max="8967" width="20.140625" bestFit="1" customWidth="1"/>
    <col min="8968" max="8968" width="12" bestFit="1" customWidth="1"/>
    <col min="9217" max="9217" width="9.7109375" bestFit="1" customWidth="1"/>
    <col min="9220" max="9220" width="10.42578125" customWidth="1"/>
    <col min="9221" max="9221" width="9.85546875" bestFit="1" customWidth="1"/>
    <col min="9223" max="9223" width="20.140625" bestFit="1" customWidth="1"/>
    <col min="9224" max="9224" width="12" bestFit="1" customWidth="1"/>
    <col min="9473" max="9473" width="9.7109375" bestFit="1" customWidth="1"/>
    <col min="9476" max="9476" width="10.42578125" customWidth="1"/>
    <col min="9477" max="9477" width="9.85546875" bestFit="1" customWidth="1"/>
    <col min="9479" max="9479" width="20.140625" bestFit="1" customWidth="1"/>
    <col min="9480" max="9480" width="12" bestFit="1" customWidth="1"/>
    <col min="9729" max="9729" width="9.7109375" bestFit="1" customWidth="1"/>
    <col min="9732" max="9732" width="10.42578125" customWidth="1"/>
    <col min="9733" max="9733" width="9.85546875" bestFit="1" customWidth="1"/>
    <col min="9735" max="9735" width="20.140625" bestFit="1" customWidth="1"/>
    <col min="9736" max="9736" width="12" bestFit="1" customWidth="1"/>
    <col min="9985" max="9985" width="9.7109375" bestFit="1" customWidth="1"/>
    <col min="9988" max="9988" width="10.42578125" customWidth="1"/>
    <col min="9989" max="9989" width="9.85546875" bestFit="1" customWidth="1"/>
    <col min="9991" max="9991" width="20.140625" bestFit="1" customWidth="1"/>
    <col min="9992" max="9992" width="12" bestFit="1" customWidth="1"/>
    <col min="10241" max="10241" width="9.7109375" bestFit="1" customWidth="1"/>
    <col min="10244" max="10244" width="10.42578125" customWidth="1"/>
    <col min="10245" max="10245" width="9.85546875" bestFit="1" customWidth="1"/>
    <col min="10247" max="10247" width="20.140625" bestFit="1" customWidth="1"/>
    <col min="10248" max="10248" width="12" bestFit="1" customWidth="1"/>
    <col min="10497" max="10497" width="9.7109375" bestFit="1" customWidth="1"/>
    <col min="10500" max="10500" width="10.42578125" customWidth="1"/>
    <col min="10501" max="10501" width="9.85546875" bestFit="1" customWidth="1"/>
    <col min="10503" max="10503" width="20.140625" bestFit="1" customWidth="1"/>
    <col min="10504" max="10504" width="12" bestFit="1" customWidth="1"/>
    <col min="10753" max="10753" width="9.7109375" bestFit="1" customWidth="1"/>
    <col min="10756" max="10756" width="10.42578125" customWidth="1"/>
    <col min="10757" max="10757" width="9.85546875" bestFit="1" customWidth="1"/>
    <col min="10759" max="10759" width="20.140625" bestFit="1" customWidth="1"/>
    <col min="10760" max="10760" width="12" bestFit="1" customWidth="1"/>
    <col min="11009" max="11009" width="9.7109375" bestFit="1" customWidth="1"/>
    <col min="11012" max="11012" width="10.42578125" customWidth="1"/>
    <col min="11013" max="11013" width="9.85546875" bestFit="1" customWidth="1"/>
    <col min="11015" max="11015" width="20.140625" bestFit="1" customWidth="1"/>
    <col min="11016" max="11016" width="12" bestFit="1" customWidth="1"/>
    <col min="11265" max="11265" width="9.7109375" bestFit="1" customWidth="1"/>
    <col min="11268" max="11268" width="10.42578125" customWidth="1"/>
    <col min="11269" max="11269" width="9.85546875" bestFit="1" customWidth="1"/>
    <col min="11271" max="11271" width="20.140625" bestFit="1" customWidth="1"/>
    <col min="11272" max="11272" width="12" bestFit="1" customWidth="1"/>
    <col min="11521" max="11521" width="9.7109375" bestFit="1" customWidth="1"/>
    <col min="11524" max="11524" width="10.42578125" customWidth="1"/>
    <col min="11525" max="11525" width="9.85546875" bestFit="1" customWidth="1"/>
    <col min="11527" max="11527" width="20.140625" bestFit="1" customWidth="1"/>
    <col min="11528" max="11528" width="12" bestFit="1" customWidth="1"/>
    <col min="11777" max="11777" width="9.7109375" bestFit="1" customWidth="1"/>
    <col min="11780" max="11780" width="10.42578125" customWidth="1"/>
    <col min="11781" max="11781" width="9.85546875" bestFit="1" customWidth="1"/>
    <col min="11783" max="11783" width="20.140625" bestFit="1" customWidth="1"/>
    <col min="11784" max="11784" width="12" bestFit="1" customWidth="1"/>
    <col min="12033" max="12033" width="9.7109375" bestFit="1" customWidth="1"/>
    <col min="12036" max="12036" width="10.42578125" customWidth="1"/>
    <col min="12037" max="12037" width="9.85546875" bestFit="1" customWidth="1"/>
    <col min="12039" max="12039" width="20.140625" bestFit="1" customWidth="1"/>
    <col min="12040" max="12040" width="12" bestFit="1" customWidth="1"/>
    <col min="12289" max="12289" width="9.7109375" bestFit="1" customWidth="1"/>
    <col min="12292" max="12292" width="10.42578125" customWidth="1"/>
    <col min="12293" max="12293" width="9.85546875" bestFit="1" customWidth="1"/>
    <col min="12295" max="12295" width="20.140625" bestFit="1" customWidth="1"/>
    <col min="12296" max="12296" width="12" bestFit="1" customWidth="1"/>
    <col min="12545" max="12545" width="9.7109375" bestFit="1" customWidth="1"/>
    <col min="12548" max="12548" width="10.42578125" customWidth="1"/>
    <col min="12549" max="12549" width="9.85546875" bestFit="1" customWidth="1"/>
    <col min="12551" max="12551" width="20.140625" bestFit="1" customWidth="1"/>
    <col min="12552" max="12552" width="12" bestFit="1" customWidth="1"/>
    <col min="12801" max="12801" width="9.7109375" bestFit="1" customWidth="1"/>
    <col min="12804" max="12804" width="10.42578125" customWidth="1"/>
    <col min="12805" max="12805" width="9.85546875" bestFit="1" customWidth="1"/>
    <col min="12807" max="12807" width="20.140625" bestFit="1" customWidth="1"/>
    <col min="12808" max="12808" width="12" bestFit="1" customWidth="1"/>
    <col min="13057" max="13057" width="9.7109375" bestFit="1" customWidth="1"/>
    <col min="13060" max="13060" width="10.42578125" customWidth="1"/>
    <col min="13061" max="13061" width="9.85546875" bestFit="1" customWidth="1"/>
    <col min="13063" max="13063" width="20.140625" bestFit="1" customWidth="1"/>
    <col min="13064" max="13064" width="12" bestFit="1" customWidth="1"/>
    <col min="13313" max="13313" width="9.7109375" bestFit="1" customWidth="1"/>
    <col min="13316" max="13316" width="10.42578125" customWidth="1"/>
    <col min="13317" max="13317" width="9.85546875" bestFit="1" customWidth="1"/>
    <col min="13319" max="13319" width="20.140625" bestFit="1" customWidth="1"/>
    <col min="13320" max="13320" width="12" bestFit="1" customWidth="1"/>
    <col min="13569" max="13569" width="9.7109375" bestFit="1" customWidth="1"/>
    <col min="13572" max="13572" width="10.42578125" customWidth="1"/>
    <col min="13573" max="13573" width="9.85546875" bestFit="1" customWidth="1"/>
    <col min="13575" max="13575" width="20.140625" bestFit="1" customWidth="1"/>
    <col min="13576" max="13576" width="12" bestFit="1" customWidth="1"/>
    <col min="13825" max="13825" width="9.7109375" bestFit="1" customWidth="1"/>
    <col min="13828" max="13828" width="10.42578125" customWidth="1"/>
    <col min="13829" max="13829" width="9.85546875" bestFit="1" customWidth="1"/>
    <col min="13831" max="13831" width="20.140625" bestFit="1" customWidth="1"/>
    <col min="13832" max="13832" width="12" bestFit="1" customWidth="1"/>
    <col min="14081" max="14081" width="9.7109375" bestFit="1" customWidth="1"/>
    <col min="14084" max="14084" width="10.42578125" customWidth="1"/>
    <col min="14085" max="14085" width="9.85546875" bestFit="1" customWidth="1"/>
    <col min="14087" max="14087" width="20.140625" bestFit="1" customWidth="1"/>
    <col min="14088" max="14088" width="12" bestFit="1" customWidth="1"/>
    <col min="14337" max="14337" width="9.7109375" bestFit="1" customWidth="1"/>
    <col min="14340" max="14340" width="10.42578125" customWidth="1"/>
    <col min="14341" max="14341" width="9.85546875" bestFit="1" customWidth="1"/>
    <col min="14343" max="14343" width="20.140625" bestFit="1" customWidth="1"/>
    <col min="14344" max="14344" width="12" bestFit="1" customWidth="1"/>
    <col min="14593" max="14593" width="9.7109375" bestFit="1" customWidth="1"/>
    <col min="14596" max="14596" width="10.42578125" customWidth="1"/>
    <col min="14597" max="14597" width="9.85546875" bestFit="1" customWidth="1"/>
    <col min="14599" max="14599" width="20.140625" bestFit="1" customWidth="1"/>
    <col min="14600" max="14600" width="12" bestFit="1" customWidth="1"/>
    <col min="14849" max="14849" width="9.7109375" bestFit="1" customWidth="1"/>
    <col min="14852" max="14852" width="10.42578125" customWidth="1"/>
    <col min="14853" max="14853" width="9.85546875" bestFit="1" customWidth="1"/>
    <col min="14855" max="14855" width="20.140625" bestFit="1" customWidth="1"/>
    <col min="14856" max="14856" width="12" bestFit="1" customWidth="1"/>
    <col min="15105" max="15105" width="9.7109375" bestFit="1" customWidth="1"/>
    <col min="15108" max="15108" width="10.42578125" customWidth="1"/>
    <col min="15109" max="15109" width="9.85546875" bestFit="1" customWidth="1"/>
    <col min="15111" max="15111" width="20.140625" bestFit="1" customWidth="1"/>
    <col min="15112" max="15112" width="12" bestFit="1" customWidth="1"/>
    <col min="15361" max="15361" width="9.7109375" bestFit="1" customWidth="1"/>
    <col min="15364" max="15364" width="10.42578125" customWidth="1"/>
    <col min="15365" max="15365" width="9.85546875" bestFit="1" customWidth="1"/>
    <col min="15367" max="15367" width="20.140625" bestFit="1" customWidth="1"/>
    <col min="15368" max="15368" width="12" bestFit="1" customWidth="1"/>
    <col min="15617" max="15617" width="9.7109375" bestFit="1" customWidth="1"/>
    <col min="15620" max="15620" width="10.42578125" customWidth="1"/>
    <col min="15621" max="15621" width="9.85546875" bestFit="1" customWidth="1"/>
    <col min="15623" max="15623" width="20.140625" bestFit="1" customWidth="1"/>
    <col min="15624" max="15624" width="12" bestFit="1" customWidth="1"/>
    <col min="15873" max="15873" width="9.7109375" bestFit="1" customWidth="1"/>
    <col min="15876" max="15876" width="10.42578125" customWidth="1"/>
    <col min="15877" max="15877" width="9.85546875" bestFit="1" customWidth="1"/>
    <col min="15879" max="15879" width="20.140625" bestFit="1" customWidth="1"/>
    <col min="15880" max="15880" width="12" bestFit="1" customWidth="1"/>
    <col min="16129" max="16129" width="9.7109375" bestFit="1" customWidth="1"/>
    <col min="16132" max="16132" width="10.42578125" customWidth="1"/>
    <col min="16133" max="16133" width="9.85546875" bestFit="1" customWidth="1"/>
    <col min="16135" max="16135" width="20.140625" bestFit="1" customWidth="1"/>
    <col min="16136" max="16136" width="12" bestFit="1" customWidth="1"/>
  </cols>
  <sheetData>
    <row r="1" spans="1:5" s="54" customFormat="1" ht="31.5" customHeight="1">
      <c r="A1" s="52" t="s">
        <v>154</v>
      </c>
      <c r="B1" s="52" t="s">
        <v>155</v>
      </c>
      <c r="C1" s="52" t="s">
        <v>156</v>
      </c>
      <c r="D1" s="53" t="s">
        <v>157</v>
      </c>
      <c r="E1" s="53" t="s">
        <v>158</v>
      </c>
    </row>
    <row r="2" spans="1:5">
      <c r="A2" s="55">
        <v>39022</v>
      </c>
      <c r="B2">
        <v>1400.63</v>
      </c>
      <c r="C2">
        <v>57.82</v>
      </c>
    </row>
    <row r="3" spans="1:5">
      <c r="A3" s="55">
        <v>39052</v>
      </c>
      <c r="B3">
        <v>1418.3</v>
      </c>
      <c r="C3">
        <v>59.18</v>
      </c>
    </row>
    <row r="4" spans="1:5">
      <c r="A4" s="55">
        <v>39085</v>
      </c>
      <c r="B4">
        <v>1438.24</v>
      </c>
      <c r="C4">
        <v>60.02</v>
      </c>
      <c r="D4" s="56">
        <f>(B4-B3)/B3</f>
        <v>1.4059084819854795E-2</v>
      </c>
      <c r="E4" s="56">
        <f>(C4-C3)/C3</f>
        <v>1.419398445420756E-2</v>
      </c>
    </row>
    <row r="5" spans="1:5">
      <c r="A5" s="55">
        <v>39114</v>
      </c>
      <c r="B5">
        <v>1406.82</v>
      </c>
      <c r="C5">
        <v>58.74</v>
      </c>
      <c r="D5" s="56">
        <f t="shared" ref="D5:E39" si="0">(B5-B4)/B4</f>
        <v>-2.1846145288686222E-2</v>
      </c>
      <c r="E5" s="56">
        <f t="shared" si="0"/>
        <v>-2.132622459180275E-2</v>
      </c>
    </row>
    <row r="6" spans="1:5">
      <c r="A6" s="55">
        <v>39142</v>
      </c>
      <c r="B6">
        <v>1420.86</v>
      </c>
      <c r="C6">
        <v>58.44</v>
      </c>
      <c r="D6" s="56">
        <f t="shared" si="0"/>
        <v>9.9799547916577559E-3</v>
      </c>
      <c r="E6" s="56">
        <f t="shared" si="0"/>
        <v>-5.107252298263607E-3</v>
      </c>
    </row>
    <row r="7" spans="1:5">
      <c r="A7" s="55">
        <v>39174</v>
      </c>
      <c r="B7">
        <v>1482.37</v>
      </c>
      <c r="C7">
        <v>59.91</v>
      </c>
      <c r="D7" s="56">
        <f t="shared" si="0"/>
        <v>4.3290683107413817E-2</v>
      </c>
      <c r="E7" s="56">
        <f t="shared" si="0"/>
        <v>2.5154004106776161E-2</v>
      </c>
    </row>
    <row r="8" spans="1:5">
      <c r="A8" s="55">
        <v>39203</v>
      </c>
      <c r="B8">
        <v>1530.62</v>
      </c>
      <c r="C8">
        <v>59.12</v>
      </c>
      <c r="D8" s="56">
        <f t="shared" si="0"/>
        <v>3.2549228600147063E-2</v>
      </c>
      <c r="E8" s="56">
        <f t="shared" si="0"/>
        <v>-1.318644633617091E-2</v>
      </c>
    </row>
    <row r="9" spans="1:5">
      <c r="A9" s="55">
        <v>39234</v>
      </c>
      <c r="B9">
        <v>1503.35</v>
      </c>
      <c r="C9">
        <v>56.93</v>
      </c>
      <c r="D9" s="56">
        <f t="shared" si="0"/>
        <v>-1.7816309730697352E-2</v>
      </c>
      <c r="E9" s="56">
        <f t="shared" si="0"/>
        <v>-3.704330175913393E-2</v>
      </c>
    </row>
    <row r="10" spans="1:5">
      <c r="A10" s="55">
        <v>39265</v>
      </c>
      <c r="B10">
        <v>1455.27</v>
      </c>
      <c r="C10">
        <v>57.87</v>
      </c>
      <c r="D10" s="56">
        <f t="shared" si="0"/>
        <v>-3.1981907074200906E-2</v>
      </c>
      <c r="E10" s="56">
        <f t="shared" si="0"/>
        <v>1.6511505357456487E-2</v>
      </c>
    </row>
    <row r="11" spans="1:5">
      <c r="A11" s="55">
        <v>39295</v>
      </c>
      <c r="B11">
        <v>1473.99</v>
      </c>
      <c r="C11">
        <v>61.1</v>
      </c>
      <c r="D11" s="56">
        <f t="shared" si="0"/>
        <v>1.2863592323074088E-2</v>
      </c>
      <c r="E11" s="56">
        <f t="shared" si="0"/>
        <v>5.5814757214446245E-2</v>
      </c>
    </row>
    <row r="12" spans="1:5">
      <c r="A12" s="55">
        <v>39329</v>
      </c>
      <c r="B12">
        <v>1526.75</v>
      </c>
      <c r="C12">
        <v>65.81</v>
      </c>
      <c r="D12" s="56">
        <f t="shared" si="0"/>
        <v>3.5794001316155462E-2</v>
      </c>
      <c r="E12" s="56">
        <f t="shared" si="0"/>
        <v>7.7086743044189859E-2</v>
      </c>
    </row>
    <row r="13" spans="1:5">
      <c r="A13" s="55">
        <v>39356</v>
      </c>
      <c r="B13">
        <v>1549.38</v>
      </c>
      <c r="C13">
        <v>65.36</v>
      </c>
      <c r="D13" s="56">
        <f t="shared" si="0"/>
        <v>1.4822335025380782E-2</v>
      </c>
      <c r="E13" s="56">
        <f t="shared" si="0"/>
        <v>-6.8378665856253275E-3</v>
      </c>
    </row>
    <row r="14" spans="1:5">
      <c r="A14" s="55">
        <v>39387</v>
      </c>
      <c r="B14">
        <v>1481.14</v>
      </c>
      <c r="C14">
        <v>69.569999999999993</v>
      </c>
      <c r="D14" s="56">
        <f t="shared" si="0"/>
        <v>-4.4043423821141361E-2</v>
      </c>
      <c r="E14" s="56">
        <f t="shared" si="0"/>
        <v>6.4412484700122299E-2</v>
      </c>
    </row>
    <row r="15" spans="1:5">
      <c r="A15" s="55">
        <v>39419</v>
      </c>
      <c r="B15">
        <v>1468.36</v>
      </c>
      <c r="C15">
        <v>69.03</v>
      </c>
      <c r="D15" s="56">
        <f t="shared" si="0"/>
        <v>-8.6284888666839053E-3</v>
      </c>
      <c r="E15" s="56">
        <f t="shared" si="0"/>
        <v>-7.7619663648123057E-3</v>
      </c>
    </row>
    <row r="16" spans="1:5">
      <c r="A16" s="55">
        <v>39449</v>
      </c>
      <c r="B16">
        <v>1378.55</v>
      </c>
      <c r="C16">
        <v>61.82</v>
      </c>
      <c r="D16" s="56">
        <f t="shared" si="0"/>
        <v>-6.1163474897164151E-2</v>
      </c>
      <c r="E16" s="56">
        <f t="shared" si="0"/>
        <v>-0.10444734173547734</v>
      </c>
    </row>
    <row r="17" spans="1:8">
      <c r="A17" s="55">
        <v>39479</v>
      </c>
      <c r="B17">
        <v>1330.63</v>
      </c>
      <c r="C17">
        <v>62.54</v>
      </c>
      <c r="D17" s="56">
        <f t="shared" si="0"/>
        <v>-3.4761162090602336E-2</v>
      </c>
      <c r="E17" s="56">
        <f t="shared" si="0"/>
        <v>1.1646716273050774E-2</v>
      </c>
    </row>
    <row r="18" spans="1:8">
      <c r="A18" s="55">
        <v>39510</v>
      </c>
      <c r="B18">
        <v>1322.7</v>
      </c>
      <c r="C18">
        <v>66.209999999999994</v>
      </c>
      <c r="D18" s="56">
        <f t="shared" si="0"/>
        <v>-5.9595830546433368E-3</v>
      </c>
      <c r="E18" s="56">
        <f t="shared" si="0"/>
        <v>5.8682443236328666E-2</v>
      </c>
    </row>
    <row r="19" spans="1:8">
      <c r="A19" s="55">
        <v>39539</v>
      </c>
      <c r="B19">
        <v>1385.59</v>
      </c>
      <c r="C19">
        <v>63.72</v>
      </c>
      <c r="D19" s="56">
        <f t="shared" si="0"/>
        <v>4.7546684811370581E-2</v>
      </c>
      <c r="E19" s="56">
        <f t="shared" si="0"/>
        <v>-3.7607612143180716E-2</v>
      </c>
    </row>
    <row r="20" spans="1:8">
      <c r="A20" s="55">
        <v>39569</v>
      </c>
      <c r="B20">
        <v>1400.38</v>
      </c>
      <c r="C20">
        <v>62.77</v>
      </c>
      <c r="D20" s="56">
        <f t="shared" si="0"/>
        <v>1.067415324879668E-2</v>
      </c>
      <c r="E20" s="56">
        <f t="shared" si="0"/>
        <v>-1.4908976773383487E-2</v>
      </c>
    </row>
    <row r="21" spans="1:8">
      <c r="A21" s="55">
        <v>39601</v>
      </c>
      <c r="B21">
        <v>1280</v>
      </c>
      <c r="C21">
        <v>57.79</v>
      </c>
      <c r="D21" s="56">
        <f t="shared" si="0"/>
        <v>-8.5962381639269406E-2</v>
      </c>
      <c r="E21" s="56">
        <f t="shared" si="0"/>
        <v>-7.9337263023737517E-2</v>
      </c>
    </row>
    <row r="22" spans="1:8">
      <c r="A22" s="55">
        <v>39630</v>
      </c>
      <c r="B22">
        <v>1267.3800000000001</v>
      </c>
      <c r="C22">
        <v>62.62</v>
      </c>
      <c r="D22" s="56">
        <f t="shared" si="0"/>
        <v>-9.8593749999999151E-3</v>
      </c>
      <c r="E22" s="56">
        <f t="shared" si="0"/>
        <v>8.3578473784391732E-2</v>
      </c>
    </row>
    <row r="23" spans="1:8">
      <c r="A23" s="55">
        <v>39661</v>
      </c>
      <c r="B23">
        <v>1282.83</v>
      </c>
      <c r="C23">
        <v>66.72</v>
      </c>
      <c r="D23" s="56">
        <f t="shared" si="0"/>
        <v>1.2190503242910426E-2</v>
      </c>
      <c r="E23" s="56">
        <f t="shared" si="0"/>
        <v>6.5474289364420332E-2</v>
      </c>
    </row>
    <row r="24" spans="1:8">
      <c r="A24" s="55">
        <v>39693</v>
      </c>
      <c r="B24">
        <v>1166.3599999999999</v>
      </c>
      <c r="C24">
        <v>66.64</v>
      </c>
      <c r="D24" s="56">
        <f t="shared" si="0"/>
        <v>-9.0791453271283046E-2</v>
      </c>
      <c r="E24" s="56">
        <f t="shared" si="0"/>
        <v>-1.1990407673860657E-3</v>
      </c>
    </row>
    <row r="25" spans="1:8">
      <c r="A25" s="55">
        <v>39722</v>
      </c>
      <c r="B25">
        <v>968.75</v>
      </c>
      <c r="C25">
        <v>62.11</v>
      </c>
      <c r="D25" s="56">
        <f t="shared" si="0"/>
        <v>-0.16942453444905511</v>
      </c>
      <c r="E25" s="56">
        <f t="shared" si="0"/>
        <v>-6.7977190876350554E-2</v>
      </c>
    </row>
    <row r="26" spans="1:8">
      <c r="A26" s="55">
        <v>39755</v>
      </c>
      <c r="B26">
        <v>896.24</v>
      </c>
      <c r="C26">
        <v>61.93</v>
      </c>
      <c r="D26" s="56">
        <f t="shared" si="0"/>
        <v>-7.484903225806451E-2</v>
      </c>
      <c r="E26" s="56">
        <f t="shared" si="0"/>
        <v>-2.8980840444372841E-3</v>
      </c>
    </row>
    <row r="27" spans="1:8">
      <c r="A27" s="55">
        <v>39783</v>
      </c>
      <c r="B27">
        <v>903.25</v>
      </c>
      <c r="C27">
        <v>59.5</v>
      </c>
      <c r="D27" s="56">
        <f t="shared" si="0"/>
        <v>7.8215656520574748E-3</v>
      </c>
      <c r="E27" s="56">
        <f t="shared" si="0"/>
        <v>-3.923784918456321E-2</v>
      </c>
    </row>
    <row r="28" spans="1:8">
      <c r="A28" s="55">
        <v>39815</v>
      </c>
      <c r="B28">
        <v>825.88</v>
      </c>
      <c r="C28">
        <v>52.82</v>
      </c>
      <c r="D28" s="56">
        <f t="shared" si="0"/>
        <v>-8.5657348463880442E-2</v>
      </c>
      <c r="E28" s="56">
        <f t="shared" si="0"/>
        <v>-0.11226890756302521</v>
      </c>
      <c r="G28" s="57" t="s">
        <v>159</v>
      </c>
      <c r="H28" s="57">
        <v>0.55000000000000004</v>
      </c>
    </row>
    <row r="29" spans="1:8">
      <c r="A29" s="55">
        <v>39846</v>
      </c>
      <c r="B29">
        <v>735.09</v>
      </c>
      <c r="C29">
        <v>46.68</v>
      </c>
      <c r="D29" s="56">
        <f t="shared" si="0"/>
        <v>-0.10993122487528451</v>
      </c>
      <c r="E29" s="56">
        <f t="shared" si="0"/>
        <v>-0.11624384702764105</v>
      </c>
      <c r="G29" s="57" t="s">
        <v>160</v>
      </c>
      <c r="H29" s="57">
        <v>0.59</v>
      </c>
    </row>
    <row r="30" spans="1:8">
      <c r="A30" s="55">
        <v>39874</v>
      </c>
      <c r="B30">
        <v>797.87</v>
      </c>
      <c r="C30">
        <v>45.64</v>
      </c>
      <c r="D30" s="56">
        <f t="shared" si="0"/>
        <v>8.5404508291501674E-2</v>
      </c>
      <c r="E30" s="56">
        <f t="shared" si="0"/>
        <v>-2.227934875749784E-2</v>
      </c>
      <c r="G30" s="57" t="s">
        <v>161</v>
      </c>
      <c r="H30" s="57">
        <v>0.56569999999999998</v>
      </c>
    </row>
    <row r="31" spans="1:8">
      <c r="A31" s="55">
        <v>39904</v>
      </c>
      <c r="B31">
        <v>872.81</v>
      </c>
      <c r="C31">
        <v>48.33</v>
      </c>
      <c r="D31" s="56">
        <f t="shared" si="0"/>
        <v>9.3925075513554765E-2</v>
      </c>
      <c r="E31" s="56">
        <f t="shared" si="0"/>
        <v>5.8939526730937726E-2</v>
      </c>
      <c r="G31" s="57" t="s">
        <v>162</v>
      </c>
      <c r="H31" s="58">
        <f>COVAR(D4:D39,E4:E39)</f>
        <v>1.8179443849687745E-3</v>
      </c>
    </row>
    <row r="32" spans="1:8">
      <c r="A32" s="55">
        <v>39934</v>
      </c>
      <c r="B32">
        <v>919.14</v>
      </c>
      <c r="C32">
        <v>50.77</v>
      </c>
      <c r="D32" s="56">
        <f t="shared" si="0"/>
        <v>5.3081426656431577E-2</v>
      </c>
      <c r="E32" s="56">
        <f t="shared" si="0"/>
        <v>5.0486240430374613E-2</v>
      </c>
      <c r="G32" s="57" t="s">
        <v>163</v>
      </c>
      <c r="H32" s="58">
        <f>VARP(D4:D39)</f>
        <v>3.2136186297180365E-3</v>
      </c>
    </row>
    <row r="33" spans="1:8">
      <c r="A33" s="55">
        <v>39965</v>
      </c>
      <c r="B33">
        <v>919.32</v>
      </c>
      <c r="C33">
        <v>49.95</v>
      </c>
      <c r="D33" s="56">
        <f t="shared" si="0"/>
        <v>1.9583523728709844E-4</v>
      </c>
      <c r="E33" s="56">
        <f t="shared" si="0"/>
        <v>-1.615127043529644E-2</v>
      </c>
      <c r="G33" s="57" t="s">
        <v>31</v>
      </c>
      <c r="H33" s="58">
        <f>H31/H32</f>
        <v>0.56570010148599403</v>
      </c>
    </row>
    <row r="34" spans="1:8">
      <c r="A34" s="55">
        <v>39995</v>
      </c>
      <c r="B34">
        <v>987.48</v>
      </c>
      <c r="C34">
        <v>54.7</v>
      </c>
      <c r="D34" s="56">
        <f t="shared" si="0"/>
        <v>7.4141756950789672E-2</v>
      </c>
      <c r="E34" s="56">
        <f t="shared" si="0"/>
        <v>9.5095095095095089E-2</v>
      </c>
      <c r="G34" s="60" t="s">
        <v>164</v>
      </c>
      <c r="H34" s="61"/>
    </row>
    <row r="35" spans="1:8">
      <c r="A35" s="55">
        <v>40028</v>
      </c>
      <c r="B35">
        <v>1020.62</v>
      </c>
      <c r="C35">
        <v>53.32</v>
      </c>
      <c r="D35" s="56">
        <f t="shared" si="0"/>
        <v>3.3560173370599897E-2</v>
      </c>
      <c r="E35" s="56">
        <f t="shared" si="0"/>
        <v>-2.5228519195612475E-2</v>
      </c>
      <c r="G35" s="57" t="s">
        <v>165</v>
      </c>
      <c r="H35" s="59">
        <v>4.2000000000000003E-2</v>
      </c>
    </row>
    <row r="36" spans="1:8">
      <c r="A36" s="55">
        <v>40057</v>
      </c>
      <c r="B36">
        <v>1057.08</v>
      </c>
      <c r="C36">
        <v>57.07</v>
      </c>
      <c r="D36" s="56">
        <f t="shared" si="0"/>
        <v>3.5723383825517749E-2</v>
      </c>
      <c r="E36" s="56">
        <f t="shared" si="0"/>
        <v>7.0330082520630152E-2</v>
      </c>
      <c r="G36" s="57" t="s">
        <v>26</v>
      </c>
      <c r="H36" s="59">
        <v>8.5000000000000006E-2</v>
      </c>
    </row>
    <row r="37" spans="1:8">
      <c r="A37" s="55">
        <v>40087</v>
      </c>
      <c r="B37">
        <v>1036.19</v>
      </c>
      <c r="C37">
        <v>57.59</v>
      </c>
      <c r="D37" s="56">
        <f t="shared" si="0"/>
        <v>-1.976198584780705E-2</v>
      </c>
      <c r="E37" s="56">
        <f t="shared" si="0"/>
        <v>9.111617312072948E-3</v>
      </c>
      <c r="G37" s="57" t="s">
        <v>166</v>
      </c>
      <c r="H37" s="59">
        <f>H35+H36*H33</f>
        <v>9.0084508626309498E-2</v>
      </c>
    </row>
    <row r="38" spans="1:8">
      <c r="A38" s="55">
        <v>40119</v>
      </c>
      <c r="B38">
        <v>1095.6300000000001</v>
      </c>
      <c r="C38">
        <v>61.91</v>
      </c>
      <c r="D38" s="56">
        <f t="shared" si="0"/>
        <v>5.7363996950366293E-2</v>
      </c>
      <c r="E38" s="56">
        <f t="shared" si="0"/>
        <v>7.5013023094287076E-2</v>
      </c>
    </row>
    <row r="39" spans="1:8">
      <c r="A39" s="55">
        <v>40148</v>
      </c>
      <c r="B39">
        <v>1115.0999999999999</v>
      </c>
      <c r="C39">
        <v>60.2</v>
      </c>
      <c r="D39" s="56">
        <f t="shared" si="0"/>
        <v>1.7770597738287375E-2</v>
      </c>
      <c r="E39" s="56">
        <f t="shared" si="0"/>
        <v>-2.7620739783556676E-2</v>
      </c>
    </row>
    <row r="40" spans="1:8">
      <c r="A40" s="55">
        <v>40182</v>
      </c>
      <c r="B40">
        <v>1073.8699999999999</v>
      </c>
      <c r="C40">
        <v>61.55</v>
      </c>
    </row>
  </sheetData>
  <mergeCells count="1">
    <mergeCell ref="G34:H34"/>
  </mergeCells>
  <pageMargins left="0.7" right="0.7" top="0.75" bottom="0.75" header="0.3" footer="0.3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25"/>
  <sheetViews>
    <sheetView workbookViewId="0">
      <selection activeCell="E24" sqref="E24"/>
    </sheetView>
  </sheetViews>
  <sheetFormatPr defaultRowHeight="15"/>
  <cols>
    <col min="1" max="1" width="31.140625" bestFit="1" customWidth="1"/>
    <col min="2" max="2" width="15.28515625" bestFit="1" customWidth="1"/>
    <col min="3" max="3" width="12.5703125" bestFit="1" customWidth="1"/>
    <col min="6" max="6" width="12.5703125" bestFit="1" customWidth="1"/>
  </cols>
  <sheetData>
    <row r="1" spans="1:8">
      <c r="A1" s="3" t="s">
        <v>24</v>
      </c>
      <c r="B1" s="4"/>
      <c r="C1" s="4"/>
      <c r="D1" s="4"/>
      <c r="E1" s="4"/>
      <c r="F1" s="4"/>
      <c r="G1" s="4"/>
      <c r="H1" s="4"/>
    </row>
    <row r="2" spans="1:8">
      <c r="A2" s="4" t="s">
        <v>25</v>
      </c>
      <c r="B2" s="5">
        <v>4.2000000000000003E-2</v>
      </c>
      <c r="C2" s="4"/>
      <c r="D2" s="4"/>
      <c r="E2" s="4"/>
      <c r="F2" s="4"/>
      <c r="G2" s="4"/>
      <c r="H2" s="4"/>
    </row>
    <row r="3" spans="1:8">
      <c r="A3" s="4" t="s">
        <v>26</v>
      </c>
      <c r="B3" s="5">
        <v>8.5000000000000006E-2</v>
      </c>
      <c r="C3" s="4"/>
      <c r="D3" s="4"/>
      <c r="E3" s="4"/>
      <c r="F3" s="4"/>
      <c r="G3" s="4"/>
      <c r="H3" s="4"/>
    </row>
    <row r="4" spans="1:8">
      <c r="A4" s="4" t="s">
        <v>27</v>
      </c>
      <c r="B4" s="5">
        <v>0.2631</v>
      </c>
      <c r="C4" s="4"/>
      <c r="D4" s="4"/>
      <c r="E4" s="4"/>
      <c r="F4" s="4"/>
      <c r="G4" s="4"/>
      <c r="H4" s="4"/>
    </row>
    <row r="5" spans="1:8">
      <c r="A5" s="6" t="s">
        <v>28</v>
      </c>
      <c r="B5" s="5"/>
      <c r="C5" s="4"/>
      <c r="D5" s="4"/>
      <c r="E5" s="4"/>
      <c r="F5" s="4"/>
      <c r="G5" s="4"/>
      <c r="H5" s="4"/>
    </row>
    <row r="6" spans="1:8">
      <c r="A6" s="7" t="s">
        <v>46</v>
      </c>
      <c r="B6" s="8">
        <v>2900000</v>
      </c>
      <c r="C6" s="4"/>
      <c r="D6" s="4"/>
      <c r="E6" s="4"/>
      <c r="F6" s="4"/>
      <c r="G6" s="4"/>
      <c r="H6" s="4"/>
    </row>
    <row r="7" spans="1:8">
      <c r="A7" s="7" t="s">
        <v>29</v>
      </c>
      <c r="B7" s="8">
        <f>2900000*23.18</f>
        <v>67222000</v>
      </c>
      <c r="C7" s="4"/>
      <c r="D7" s="4"/>
      <c r="E7" s="4"/>
      <c r="F7" s="4"/>
      <c r="G7" s="4"/>
      <c r="H7" s="4"/>
    </row>
    <row r="8" spans="1:8">
      <c r="A8" s="7" t="s">
        <v>30</v>
      </c>
      <c r="B8" s="9">
        <v>63.76</v>
      </c>
      <c r="C8" s="4"/>
      <c r="D8" s="4"/>
      <c r="E8" s="4"/>
      <c r="F8" s="4"/>
      <c r="G8" s="4"/>
      <c r="H8" s="4"/>
    </row>
    <row r="9" spans="1:8">
      <c r="A9" s="7" t="s">
        <v>31</v>
      </c>
      <c r="B9" s="10">
        <v>0.56569999999999998</v>
      </c>
      <c r="C9" s="4"/>
      <c r="D9" s="4"/>
      <c r="E9" s="4"/>
      <c r="F9" s="4"/>
      <c r="G9" s="4"/>
      <c r="H9" s="4"/>
    </row>
    <row r="10" spans="1:8">
      <c r="A10" s="11" t="s">
        <v>32</v>
      </c>
      <c r="B10" s="10"/>
      <c r="C10" s="4"/>
      <c r="D10" s="4"/>
      <c r="E10" s="4"/>
      <c r="F10" s="4"/>
      <c r="G10" s="4"/>
      <c r="H10" s="4"/>
    </row>
    <row r="11" spans="1:8">
      <c r="A11" s="7" t="s">
        <v>33</v>
      </c>
      <c r="B11" s="9">
        <v>14403810</v>
      </c>
      <c r="C11" s="4"/>
      <c r="D11" s="4"/>
      <c r="E11" s="4"/>
      <c r="F11" s="4"/>
      <c r="G11" s="4"/>
      <c r="H11" s="4"/>
    </row>
    <row r="12" spans="1:8">
      <c r="A12" s="7" t="s">
        <v>34</v>
      </c>
      <c r="B12" s="9">
        <v>15127350.007999999</v>
      </c>
      <c r="C12" s="4"/>
      <c r="D12" s="4"/>
      <c r="E12" s="4"/>
      <c r="F12" s="4"/>
      <c r="G12" s="4"/>
      <c r="H12" s="4"/>
    </row>
    <row r="13" spans="1:8">
      <c r="A13" s="7" t="s">
        <v>35</v>
      </c>
      <c r="B13" s="5">
        <v>3.1202807697198201E-2</v>
      </c>
      <c r="C13" s="4"/>
      <c r="D13" s="4"/>
      <c r="E13" s="4"/>
      <c r="F13" s="4"/>
      <c r="G13" s="4"/>
      <c r="H13" s="4"/>
    </row>
    <row r="14" spans="1:8">
      <c r="A14" s="7" t="s">
        <v>36</v>
      </c>
      <c r="B14" s="5">
        <v>3.1814187863639501E-2</v>
      </c>
      <c r="C14" s="4"/>
      <c r="D14" s="4"/>
      <c r="E14" s="4"/>
      <c r="F14" s="4"/>
      <c r="G14" s="4"/>
      <c r="H14" s="4"/>
    </row>
    <row r="15" spans="1:8">
      <c r="A15" s="7"/>
      <c r="B15" s="10"/>
      <c r="C15" s="4"/>
      <c r="D15" s="4"/>
      <c r="E15" s="4"/>
      <c r="F15" s="4"/>
      <c r="G15" s="4"/>
      <c r="H15" s="4"/>
    </row>
    <row r="16" spans="1:8">
      <c r="A16" s="12" t="s">
        <v>37</v>
      </c>
      <c r="B16" s="10"/>
      <c r="C16" s="4"/>
      <c r="D16" s="4"/>
      <c r="E16" s="4"/>
      <c r="F16" s="4"/>
      <c r="G16" s="4"/>
      <c r="H16" s="4"/>
    </row>
    <row r="17" spans="1:8">
      <c r="A17" s="7" t="s">
        <v>38</v>
      </c>
      <c r="B17" s="5">
        <f>B2+(B9*(B3))</f>
        <v>9.0084500000000012E-2</v>
      </c>
      <c r="C17" s="4"/>
      <c r="D17" s="4"/>
      <c r="E17" s="4"/>
      <c r="F17" s="4"/>
      <c r="G17" s="4"/>
      <c r="H17" s="4"/>
    </row>
    <row r="18" spans="1:8">
      <c r="A18" s="7"/>
      <c r="B18" s="10"/>
      <c r="C18" s="4"/>
      <c r="D18" s="4"/>
      <c r="E18" s="4"/>
      <c r="F18" s="4"/>
      <c r="G18" s="4"/>
      <c r="H18" s="4"/>
    </row>
    <row r="19" spans="1:8">
      <c r="A19" s="12" t="s">
        <v>39</v>
      </c>
      <c r="B19" s="4"/>
      <c r="C19" s="62" t="s">
        <v>40</v>
      </c>
      <c r="D19" s="62"/>
      <c r="E19" s="62"/>
    </row>
    <row r="20" spans="1:8">
      <c r="A20" s="12"/>
      <c r="B20" s="4"/>
      <c r="C20" s="13" t="s">
        <v>41</v>
      </c>
      <c r="D20" s="13" t="s">
        <v>42</v>
      </c>
      <c r="E20" s="13" t="s">
        <v>43</v>
      </c>
    </row>
    <row r="21" spans="1:8">
      <c r="A21" s="7" t="s">
        <v>28</v>
      </c>
      <c r="B21" s="4"/>
      <c r="C21" s="8">
        <f>B6*B8</f>
        <v>184904000</v>
      </c>
      <c r="D21" s="14">
        <f>C21/C23</f>
        <v>0.9243751041654471</v>
      </c>
      <c r="E21" s="5">
        <f>B17</f>
        <v>9.0084500000000012E-2</v>
      </c>
    </row>
    <row r="22" spans="1:8">
      <c r="A22" s="7" t="s">
        <v>32</v>
      </c>
      <c r="B22" s="4"/>
      <c r="C22" s="15">
        <f>B12</f>
        <v>15127350.007999999</v>
      </c>
      <c r="D22" s="16">
        <f>C22/C23</f>
        <v>7.5624895834552938E-2</v>
      </c>
      <c r="E22" s="5">
        <f>B14</f>
        <v>3.1814187863639501E-2</v>
      </c>
    </row>
    <row r="23" spans="1:8">
      <c r="A23" s="7" t="s">
        <v>44</v>
      </c>
      <c r="B23" s="4"/>
      <c r="C23" s="8">
        <f>C21+C22</f>
        <v>200031350.00799999</v>
      </c>
      <c r="D23" s="14">
        <v>1</v>
      </c>
      <c r="E23" s="4"/>
    </row>
    <row r="24" spans="1:8">
      <c r="A24" s="17" t="s">
        <v>45</v>
      </c>
      <c r="B24" s="4"/>
      <c r="C24" s="4"/>
      <c r="D24" s="4"/>
      <c r="E24" s="19">
        <f>(D21*E21)+(D22*E22)*(1-B4)</f>
        <v>8.5044809678802152E-2</v>
      </c>
    </row>
    <row r="25" spans="1:8">
      <c r="A25" s="4"/>
      <c r="B25" s="4"/>
      <c r="C25" s="4"/>
      <c r="D25" s="4"/>
      <c r="E25" s="4"/>
      <c r="F25" s="4"/>
      <c r="G25" s="4"/>
      <c r="H25" s="4"/>
    </row>
  </sheetData>
  <mergeCells count="1">
    <mergeCell ref="C19:E19"/>
  </mergeCell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P25"/>
  <sheetViews>
    <sheetView topLeftCell="A3" workbookViewId="0">
      <selection activeCell="N25" sqref="N25"/>
    </sheetView>
  </sheetViews>
  <sheetFormatPr defaultRowHeight="15"/>
  <cols>
    <col min="1" max="1" width="12.140625" bestFit="1" customWidth="1"/>
    <col min="4" max="4" width="11.28515625" bestFit="1" customWidth="1"/>
    <col min="11" max="11" width="14.5703125" bestFit="1" customWidth="1"/>
    <col min="14" max="14" width="14.28515625" bestFit="1" customWidth="1"/>
  </cols>
  <sheetData>
    <row r="1" spans="1:16">
      <c r="A1" t="s">
        <v>116</v>
      </c>
      <c r="B1" s="42">
        <v>40273</v>
      </c>
    </row>
    <row r="5" spans="1:16">
      <c r="K5" s="63" t="s">
        <v>153</v>
      </c>
      <c r="L5" s="63"/>
      <c r="M5" s="63"/>
      <c r="N5" s="62" t="s">
        <v>129</v>
      </c>
      <c r="O5" s="62"/>
      <c r="P5" s="62"/>
    </row>
    <row r="6" spans="1:16" ht="45">
      <c r="B6" s="43" t="s">
        <v>117</v>
      </c>
      <c r="C6" s="43" t="s">
        <v>118</v>
      </c>
      <c r="D6" s="43" t="s">
        <v>119</v>
      </c>
      <c r="E6" s="43" t="s">
        <v>120</v>
      </c>
      <c r="F6" s="43" t="s">
        <v>121</v>
      </c>
      <c r="G6" s="43" t="s">
        <v>122</v>
      </c>
      <c r="H6" s="43" t="s">
        <v>123</v>
      </c>
      <c r="I6" s="43" t="s">
        <v>124</v>
      </c>
      <c r="J6" s="43" t="s">
        <v>125</v>
      </c>
      <c r="K6" s="44" t="s">
        <v>126</v>
      </c>
      <c r="L6" s="44" t="s">
        <v>127</v>
      </c>
      <c r="M6" s="44" t="s">
        <v>128</v>
      </c>
      <c r="N6" s="43" t="s">
        <v>129</v>
      </c>
      <c r="O6" s="43" t="s">
        <v>127</v>
      </c>
      <c r="P6" s="44" t="s">
        <v>130</v>
      </c>
    </row>
    <row r="7" spans="1:16">
      <c r="A7" s="45">
        <v>1</v>
      </c>
      <c r="B7" s="46" t="s">
        <v>131</v>
      </c>
      <c r="C7" s="46">
        <v>0.26</v>
      </c>
      <c r="D7" s="47">
        <v>40305</v>
      </c>
      <c r="E7" s="46" t="s">
        <v>132</v>
      </c>
      <c r="F7" s="46" t="s">
        <v>133</v>
      </c>
      <c r="G7" s="46" t="s">
        <v>134</v>
      </c>
      <c r="H7" s="46" t="s">
        <v>135</v>
      </c>
      <c r="I7" s="46">
        <v>100</v>
      </c>
      <c r="J7" s="48">
        <f>YIELD(B1,D7,C7,I7,100,2)</f>
        <v>0.23489259184902603</v>
      </c>
      <c r="K7" s="49">
        <v>2000000</v>
      </c>
      <c r="L7" s="45">
        <f>K7/$K$25</f>
        <v>0.13885215092395692</v>
      </c>
      <c r="M7" s="45">
        <f>J7*L7</f>
        <v>3.2615341614340376E-2</v>
      </c>
      <c r="N7" s="49">
        <f>I7*K7/100</f>
        <v>2000000</v>
      </c>
      <c r="O7" s="45">
        <f>N7/$N$25</f>
        <v>0.13221086303564822</v>
      </c>
      <c r="P7" s="45">
        <f>O7*J7</f>
        <v>3.1055352289039998E-2</v>
      </c>
    </row>
    <row r="8" spans="1:16">
      <c r="A8" s="45">
        <v>2</v>
      </c>
      <c r="B8" s="46" t="s">
        <v>136</v>
      </c>
      <c r="C8" s="46">
        <v>1.35</v>
      </c>
      <c r="D8" s="47">
        <v>40781</v>
      </c>
      <c r="E8" s="46" t="s">
        <v>137</v>
      </c>
      <c r="F8" s="46" t="s">
        <v>133</v>
      </c>
      <c r="G8" s="46" t="s">
        <v>134</v>
      </c>
      <c r="H8" s="46" t="s">
        <v>135</v>
      </c>
      <c r="I8" s="46">
        <v>100.709</v>
      </c>
      <c r="J8" s="46">
        <v>0.83299999999999996</v>
      </c>
      <c r="K8" s="49">
        <v>1000000</v>
      </c>
      <c r="L8" s="45">
        <f t="shared" ref="L8:L23" si="0">K8/$K$25</f>
        <v>6.9426075461978459E-2</v>
      </c>
      <c r="M8" s="45">
        <f t="shared" ref="M8:M23" si="1">J8*L8</f>
        <v>5.7831920859828051E-2</v>
      </c>
      <c r="N8" s="49">
        <f t="shared" ref="N8:N23" si="2">I8*K8/100</f>
        <v>1007090</v>
      </c>
      <c r="O8" s="45">
        <f t="shared" ref="O8:O23" si="3">N8/$N$25</f>
        <v>6.657411902728548E-2</v>
      </c>
      <c r="P8" s="45">
        <f t="shared" ref="P8:P23" si="4">O8*J8</f>
        <v>5.5456241149728802E-2</v>
      </c>
    </row>
    <row r="9" spans="1:16">
      <c r="A9" s="45">
        <v>3</v>
      </c>
      <c r="B9" s="46" t="s">
        <v>138</v>
      </c>
      <c r="C9" s="46">
        <v>1.38</v>
      </c>
      <c r="D9" s="47">
        <v>41122</v>
      </c>
      <c r="E9" s="46" t="s">
        <v>137</v>
      </c>
      <c r="F9" s="46" t="s">
        <v>133</v>
      </c>
      <c r="G9" s="46" t="s">
        <v>134</v>
      </c>
      <c r="H9" s="46" t="s">
        <v>135</v>
      </c>
      <c r="I9" s="46">
        <v>100.334</v>
      </c>
      <c r="J9" s="46">
        <v>1.2270000000000001</v>
      </c>
      <c r="K9" s="49">
        <v>1250000</v>
      </c>
      <c r="L9" s="45">
        <f t="shared" si="0"/>
        <v>8.6782594327473081E-2</v>
      </c>
      <c r="M9" s="45">
        <f t="shared" si="1"/>
        <v>0.10648224323980948</v>
      </c>
      <c r="N9" s="49">
        <f t="shared" si="2"/>
        <v>1254175</v>
      </c>
      <c r="O9" s="45">
        <f t="shared" si="3"/>
        <v>8.2907779573867052E-2</v>
      </c>
      <c r="P9" s="45">
        <f t="shared" si="4"/>
        <v>0.10172784553713488</v>
      </c>
    </row>
    <row r="10" spans="1:16">
      <c r="A10" s="45">
        <v>4</v>
      </c>
      <c r="B10" s="46" t="s">
        <v>139</v>
      </c>
      <c r="C10" s="46">
        <v>4.5999999999999996</v>
      </c>
      <c r="D10" s="47">
        <v>41654</v>
      </c>
      <c r="E10" s="46" t="s">
        <v>137</v>
      </c>
      <c r="F10" s="46" t="s">
        <v>133</v>
      </c>
      <c r="G10" s="46" t="s">
        <v>134</v>
      </c>
      <c r="H10" s="46" t="s">
        <v>135</v>
      </c>
      <c r="I10" s="46">
        <v>106.69</v>
      </c>
      <c r="J10" s="46">
        <v>2.7189999999999999</v>
      </c>
      <c r="K10" s="49">
        <v>2000000</v>
      </c>
      <c r="L10" s="45">
        <f t="shared" si="0"/>
        <v>0.13885215092395692</v>
      </c>
      <c r="M10" s="45">
        <f t="shared" si="1"/>
        <v>0.37753899836223886</v>
      </c>
      <c r="N10" s="49">
        <f t="shared" si="2"/>
        <v>2133800</v>
      </c>
      <c r="O10" s="45">
        <f t="shared" si="3"/>
        <v>0.1410557697727331</v>
      </c>
      <c r="P10" s="45">
        <f t="shared" si="4"/>
        <v>0.38353063801206128</v>
      </c>
    </row>
    <row r="11" spans="1:16">
      <c r="A11" s="45">
        <v>5</v>
      </c>
      <c r="B11" s="46" t="s">
        <v>140</v>
      </c>
      <c r="C11" s="46">
        <v>4.95</v>
      </c>
      <c r="D11" s="47">
        <v>41866</v>
      </c>
      <c r="E11" s="46" t="s">
        <v>137</v>
      </c>
      <c r="F11" s="46" t="s">
        <v>133</v>
      </c>
      <c r="G11" s="46" t="s">
        <v>134</v>
      </c>
      <c r="H11" s="46" t="s">
        <v>135</v>
      </c>
      <c r="I11" s="46">
        <v>109.25</v>
      </c>
      <c r="J11" s="46">
        <v>2.6829999999999998</v>
      </c>
      <c r="K11" s="49">
        <v>900000</v>
      </c>
      <c r="L11" s="45">
        <f t="shared" si="0"/>
        <v>6.2483467915780619E-2</v>
      </c>
      <c r="M11" s="45">
        <f t="shared" si="1"/>
        <v>0.1676431444180394</v>
      </c>
      <c r="N11" s="49">
        <f t="shared" si="2"/>
        <v>983250</v>
      </c>
      <c r="O11" s="45">
        <f t="shared" si="3"/>
        <v>6.4998165539900551E-2</v>
      </c>
      <c r="P11" s="45">
        <f t="shared" si="4"/>
        <v>0.17439007814355317</v>
      </c>
    </row>
    <row r="12" spans="1:16">
      <c r="A12" s="45">
        <v>6</v>
      </c>
      <c r="B12" s="46" t="s">
        <v>141</v>
      </c>
      <c r="C12" s="46">
        <v>3.5</v>
      </c>
      <c r="D12" s="47">
        <v>42050</v>
      </c>
      <c r="E12" s="46" t="s">
        <v>137</v>
      </c>
      <c r="F12" s="46" t="s">
        <v>133</v>
      </c>
      <c r="G12" s="46" t="s">
        <v>134</v>
      </c>
      <c r="H12" s="46" t="s">
        <v>135</v>
      </c>
      <c r="I12" s="46">
        <v>101.375</v>
      </c>
      <c r="J12" s="46">
        <v>3.1909999999999998</v>
      </c>
      <c r="K12" s="49">
        <v>750000</v>
      </c>
      <c r="L12" s="45">
        <f t="shared" si="0"/>
        <v>5.2069556596483844E-2</v>
      </c>
      <c r="M12" s="45">
        <f t="shared" si="1"/>
        <v>0.16615395509937994</v>
      </c>
      <c r="N12" s="49">
        <f t="shared" si="2"/>
        <v>760312.5</v>
      </c>
      <c r="O12" s="45">
        <f t="shared" si="3"/>
        <v>5.0260785900895645E-2</v>
      </c>
      <c r="P12" s="45">
        <f t="shared" si="4"/>
        <v>0.160382167809758</v>
      </c>
    </row>
    <row r="13" spans="1:16">
      <c r="A13" s="45">
        <v>7</v>
      </c>
      <c r="B13" s="46" t="s">
        <v>142</v>
      </c>
      <c r="C13" s="46">
        <v>3.15</v>
      </c>
      <c r="D13" s="47">
        <v>42248</v>
      </c>
      <c r="E13" s="46" t="s">
        <v>137</v>
      </c>
      <c r="F13" s="46" t="s">
        <v>133</v>
      </c>
      <c r="G13" s="46" t="s">
        <v>134</v>
      </c>
      <c r="H13" s="46" t="s">
        <v>135</v>
      </c>
      <c r="I13" s="46">
        <v>99.875</v>
      </c>
      <c r="J13" s="46">
        <v>3.1739999999999999</v>
      </c>
      <c r="K13" s="49">
        <v>500000</v>
      </c>
      <c r="L13" s="45">
        <f t="shared" si="0"/>
        <v>3.471303773098923E-2</v>
      </c>
      <c r="M13" s="45">
        <f t="shared" si="1"/>
        <v>0.11017918175815981</v>
      </c>
      <c r="N13" s="49">
        <f t="shared" si="2"/>
        <v>499375</v>
      </c>
      <c r="O13" s="45">
        <f t="shared" si="3"/>
        <v>3.3011399864213413E-2</v>
      </c>
      <c r="P13" s="45">
        <f t="shared" si="4"/>
        <v>0.10477818316901337</v>
      </c>
    </row>
    <row r="14" spans="1:16">
      <c r="A14" s="45">
        <v>8</v>
      </c>
      <c r="B14" s="46" t="s">
        <v>143</v>
      </c>
      <c r="C14" s="46">
        <v>4.8499999999999996</v>
      </c>
      <c r="D14" s="47">
        <v>42353</v>
      </c>
      <c r="E14" s="46" t="s">
        <v>137</v>
      </c>
      <c r="F14" s="46" t="s">
        <v>133</v>
      </c>
      <c r="G14" s="46" t="s">
        <v>134</v>
      </c>
      <c r="H14" s="46" t="s">
        <v>135</v>
      </c>
      <c r="I14" s="46">
        <v>108.803</v>
      </c>
      <c r="J14" s="46">
        <v>3.1459999999999999</v>
      </c>
      <c r="K14" s="49">
        <v>700000</v>
      </c>
      <c r="L14" s="45">
        <f t="shared" si="0"/>
        <v>4.8598252823384924E-2</v>
      </c>
      <c r="M14" s="45">
        <f t="shared" si="1"/>
        <v>0.15289010338236897</v>
      </c>
      <c r="N14" s="49">
        <f t="shared" si="2"/>
        <v>761621</v>
      </c>
      <c r="O14" s="45">
        <f t="shared" si="3"/>
        <v>5.0347284858036717E-2</v>
      </c>
      <c r="P14" s="45">
        <f t="shared" si="4"/>
        <v>0.15839255816338352</v>
      </c>
    </row>
    <row r="15" spans="1:16">
      <c r="A15" s="45">
        <v>9</v>
      </c>
      <c r="B15" s="46" t="s">
        <v>144</v>
      </c>
      <c r="C15" s="46">
        <v>4.7</v>
      </c>
      <c r="D15" s="47">
        <v>43511</v>
      </c>
      <c r="E15" s="46" t="s">
        <v>137</v>
      </c>
      <c r="F15" s="46" t="s">
        <v>133</v>
      </c>
      <c r="G15" s="46" t="s">
        <v>134</v>
      </c>
      <c r="H15" s="46" t="s">
        <v>135</v>
      </c>
      <c r="I15" s="46">
        <v>103.70399999999999</v>
      </c>
      <c r="J15" s="46">
        <v>4.194</v>
      </c>
      <c r="K15" s="49">
        <v>1250000</v>
      </c>
      <c r="L15" s="45">
        <f t="shared" si="0"/>
        <v>8.6782594327473081E-2</v>
      </c>
      <c r="M15" s="45">
        <f t="shared" si="1"/>
        <v>0.36396620060942209</v>
      </c>
      <c r="N15" s="49">
        <f t="shared" si="2"/>
        <v>1296299.9999999998</v>
      </c>
      <c r="O15" s="45">
        <f t="shared" si="3"/>
        <v>8.5692470876555377E-2</v>
      </c>
      <c r="P15" s="45">
        <f t="shared" si="4"/>
        <v>0.35939422285627326</v>
      </c>
    </row>
    <row r="16" spans="1:16">
      <c r="A16" s="45">
        <v>10</v>
      </c>
      <c r="B16" s="46" t="s">
        <v>145</v>
      </c>
      <c r="C16" s="46">
        <v>9.36</v>
      </c>
      <c r="D16" s="47">
        <v>44197</v>
      </c>
      <c r="E16" s="46" t="s">
        <v>132</v>
      </c>
      <c r="F16" s="46" t="s">
        <v>133</v>
      </c>
      <c r="G16" s="46" t="s">
        <v>134</v>
      </c>
      <c r="H16" s="46" t="s">
        <v>135</v>
      </c>
      <c r="I16" s="46">
        <v>126.68</v>
      </c>
      <c r="J16" s="46">
        <v>5.9569999999999999</v>
      </c>
      <c r="K16" s="49">
        <v>853810</v>
      </c>
      <c r="L16" s="45">
        <f t="shared" si="0"/>
        <v>5.9276677490191831E-2</v>
      </c>
      <c r="M16" s="45">
        <f t="shared" si="1"/>
        <v>0.35311116780907276</v>
      </c>
      <c r="N16" s="49">
        <f t="shared" si="2"/>
        <v>1081606.5080000001</v>
      </c>
      <c r="O16" s="45">
        <f t="shared" si="3"/>
        <v>7.1500064943826894E-2</v>
      </c>
      <c r="P16" s="45">
        <f t="shared" si="4"/>
        <v>0.4259258868703768</v>
      </c>
    </row>
    <row r="17" spans="1:16">
      <c r="A17" s="45">
        <v>11</v>
      </c>
      <c r="B17" s="46" t="s">
        <v>146</v>
      </c>
      <c r="C17" s="46">
        <v>8.75</v>
      </c>
      <c r="D17" s="47">
        <v>44713</v>
      </c>
      <c r="E17" s="46" t="s">
        <v>132</v>
      </c>
      <c r="F17" s="46" t="s">
        <v>133</v>
      </c>
      <c r="G17" s="46" t="s">
        <v>134</v>
      </c>
      <c r="H17" s="46" t="s">
        <v>135</v>
      </c>
      <c r="I17" s="46">
        <v>135.131</v>
      </c>
      <c r="J17" s="46">
        <v>4.891</v>
      </c>
      <c r="K17" s="49">
        <v>100000</v>
      </c>
      <c r="L17" s="45">
        <f t="shared" si="0"/>
        <v>6.9426075461978464E-3</v>
      </c>
      <c r="M17" s="45">
        <f t="shared" si="1"/>
        <v>3.3956293508453667E-2</v>
      </c>
      <c r="N17" s="49">
        <f t="shared" si="2"/>
        <v>135131</v>
      </c>
      <c r="O17" s="45">
        <f t="shared" si="3"/>
        <v>8.9328930664350908E-3</v>
      </c>
      <c r="P17" s="45">
        <f t="shared" si="4"/>
        <v>4.3690779987934032E-2</v>
      </c>
    </row>
    <row r="18" spans="1:16">
      <c r="A18" s="45">
        <v>12</v>
      </c>
      <c r="B18" s="46" t="s">
        <v>147</v>
      </c>
      <c r="C18" s="46">
        <v>8</v>
      </c>
      <c r="D18" s="47">
        <v>45536</v>
      </c>
      <c r="E18" s="46" t="s">
        <v>132</v>
      </c>
      <c r="F18" s="46" t="s">
        <v>133</v>
      </c>
      <c r="G18" s="46" t="s">
        <v>134</v>
      </c>
      <c r="H18" s="46" t="s">
        <v>135</v>
      </c>
      <c r="I18" s="46">
        <v>121.887</v>
      </c>
      <c r="J18" s="46">
        <v>5.7439999999999998</v>
      </c>
      <c r="K18" s="49">
        <v>200000</v>
      </c>
      <c r="L18" s="45">
        <f t="shared" si="0"/>
        <v>1.3885215092395693E-2</v>
      </c>
      <c r="M18" s="45">
        <f t="shared" si="1"/>
        <v>7.9756675490720852E-2</v>
      </c>
      <c r="N18" s="49">
        <f t="shared" si="2"/>
        <v>243774</v>
      </c>
      <c r="O18" s="45">
        <f t="shared" si="3"/>
        <v>1.6114785462826055E-2</v>
      </c>
      <c r="P18" s="45">
        <f t="shared" si="4"/>
        <v>9.256332769847285E-2</v>
      </c>
    </row>
    <row r="19" spans="1:16">
      <c r="A19" s="45">
        <v>13</v>
      </c>
      <c r="B19" s="46" t="s">
        <v>148</v>
      </c>
      <c r="C19" s="46">
        <v>6.45</v>
      </c>
      <c r="D19" s="47">
        <v>46037</v>
      </c>
      <c r="E19" s="46" t="s">
        <v>137</v>
      </c>
      <c r="F19" s="46" t="s">
        <v>133</v>
      </c>
      <c r="G19" s="46" t="s">
        <v>134</v>
      </c>
      <c r="H19" s="46" t="s">
        <v>135</v>
      </c>
      <c r="I19" s="46">
        <v>111.809</v>
      </c>
      <c r="J19" s="46">
        <v>5.3319999999999999</v>
      </c>
      <c r="K19" s="49">
        <v>300000</v>
      </c>
      <c r="L19" s="45">
        <f t="shared" si="0"/>
        <v>2.0827822638593538E-2</v>
      </c>
      <c r="M19" s="45">
        <f t="shared" si="1"/>
        <v>0.11105395030898074</v>
      </c>
      <c r="N19" s="49">
        <f t="shared" si="2"/>
        <v>335427</v>
      </c>
      <c r="O19" s="45">
        <f t="shared" si="3"/>
        <v>2.217354657772919E-2</v>
      </c>
      <c r="P19" s="45">
        <f t="shared" si="4"/>
        <v>0.11822935035245204</v>
      </c>
    </row>
    <row r="20" spans="1:16">
      <c r="A20" s="45">
        <v>14</v>
      </c>
      <c r="B20" s="46" t="s">
        <v>149</v>
      </c>
      <c r="C20" s="46">
        <v>8</v>
      </c>
      <c r="D20" s="47">
        <v>47417</v>
      </c>
      <c r="E20" s="46" t="s">
        <v>132</v>
      </c>
      <c r="F20" s="46" t="s">
        <v>133</v>
      </c>
      <c r="G20" s="46" t="s">
        <v>134</v>
      </c>
      <c r="H20" s="46" t="s">
        <v>135</v>
      </c>
      <c r="I20" s="46">
        <v>129.63800000000001</v>
      </c>
      <c r="J20" s="46">
        <v>5.5170000000000003</v>
      </c>
      <c r="K20" s="49">
        <v>100000</v>
      </c>
      <c r="L20" s="45">
        <f t="shared" si="0"/>
        <v>6.9426075461978464E-3</v>
      </c>
      <c r="M20" s="45">
        <f t="shared" si="1"/>
        <v>3.8302365832373522E-2</v>
      </c>
      <c r="N20" s="49">
        <f t="shared" si="2"/>
        <v>129638</v>
      </c>
      <c r="O20" s="45">
        <f t="shared" si="3"/>
        <v>8.5697759311076822E-3</v>
      </c>
      <c r="P20" s="45">
        <f t="shared" si="4"/>
        <v>4.7279453811921085E-2</v>
      </c>
    </row>
    <row r="21" spans="1:16">
      <c r="A21" s="45">
        <v>15</v>
      </c>
      <c r="B21" s="46" t="s">
        <v>150</v>
      </c>
      <c r="C21" s="46">
        <v>5.5</v>
      </c>
      <c r="D21" s="47">
        <v>48976</v>
      </c>
      <c r="E21" s="46" t="s">
        <v>137</v>
      </c>
      <c r="F21" s="46" t="s">
        <v>133</v>
      </c>
      <c r="G21" s="46" t="s">
        <v>134</v>
      </c>
      <c r="H21" s="46" t="s">
        <v>135</v>
      </c>
      <c r="I21" s="46">
        <v>98.266000000000005</v>
      </c>
      <c r="J21" s="46">
        <v>5.6319999999999997</v>
      </c>
      <c r="K21" s="49">
        <v>500000</v>
      </c>
      <c r="L21" s="45">
        <f t="shared" si="0"/>
        <v>3.471303773098923E-2</v>
      </c>
      <c r="M21" s="45">
        <f t="shared" si="1"/>
        <v>0.19550382850093134</v>
      </c>
      <c r="N21" s="49">
        <f t="shared" si="2"/>
        <v>491330</v>
      </c>
      <c r="O21" s="45">
        <f t="shared" si="3"/>
        <v>3.2479581667652524E-2</v>
      </c>
      <c r="P21" s="45">
        <f t="shared" si="4"/>
        <v>0.182925003952219</v>
      </c>
    </row>
    <row r="22" spans="1:16">
      <c r="A22" s="45">
        <v>16</v>
      </c>
      <c r="B22" s="46" t="s">
        <v>151</v>
      </c>
      <c r="C22" s="46">
        <v>5.8</v>
      </c>
      <c r="D22" s="47">
        <v>49171</v>
      </c>
      <c r="E22" s="46" t="s">
        <v>137</v>
      </c>
      <c r="F22" s="46" t="s">
        <v>133</v>
      </c>
      <c r="G22" s="46" t="s">
        <v>134</v>
      </c>
      <c r="H22" s="46" t="s">
        <v>135</v>
      </c>
      <c r="I22" s="46">
        <v>102.434</v>
      </c>
      <c r="J22" s="46">
        <v>5.6139999999999999</v>
      </c>
      <c r="K22" s="49">
        <v>600000</v>
      </c>
      <c r="L22" s="45">
        <f t="shared" si="0"/>
        <v>4.1655645277187077E-2</v>
      </c>
      <c r="M22" s="45">
        <f t="shared" si="1"/>
        <v>0.23385479258612824</v>
      </c>
      <c r="N22" s="49">
        <f t="shared" si="2"/>
        <v>614604</v>
      </c>
      <c r="O22" s="45">
        <f t="shared" si="3"/>
        <v>4.0628662632580768E-2</v>
      </c>
      <c r="P22" s="45">
        <f t="shared" si="4"/>
        <v>0.22808931201930843</v>
      </c>
    </row>
    <row r="23" spans="1:16">
      <c r="A23" s="45">
        <v>17</v>
      </c>
      <c r="B23" s="46" t="s">
        <v>152</v>
      </c>
      <c r="C23" s="46">
        <v>5.55</v>
      </c>
      <c r="D23" s="47">
        <v>50104</v>
      </c>
      <c r="E23" s="46" t="s">
        <v>137</v>
      </c>
      <c r="F23" s="46" t="s">
        <v>133</v>
      </c>
      <c r="G23" s="46" t="s">
        <v>134</v>
      </c>
      <c r="H23" s="46" t="s">
        <v>135</v>
      </c>
      <c r="I23" s="46">
        <v>99.994</v>
      </c>
      <c r="J23" s="46">
        <v>5.55</v>
      </c>
      <c r="K23" s="49">
        <v>1400000</v>
      </c>
      <c r="L23" s="45">
        <f t="shared" si="0"/>
        <v>9.7196505646769848E-2</v>
      </c>
      <c r="M23" s="45">
        <f t="shared" si="1"/>
        <v>0.53944060633957269</v>
      </c>
      <c r="N23" s="49">
        <f t="shared" si="2"/>
        <v>1399916</v>
      </c>
      <c r="O23" s="45">
        <f t="shared" si="3"/>
        <v>9.2542051268706266E-2</v>
      </c>
      <c r="P23" s="45">
        <f t="shared" si="4"/>
        <v>0.51360838454131974</v>
      </c>
    </row>
    <row r="24" spans="1:16">
      <c r="A24" s="45"/>
      <c r="B24" s="45"/>
      <c r="C24" s="45"/>
      <c r="D24" s="45"/>
      <c r="E24" s="45"/>
      <c r="F24" s="45"/>
      <c r="G24" s="45"/>
      <c r="H24" s="45"/>
      <c r="I24" s="45"/>
      <c r="J24" s="45"/>
      <c r="K24" s="45"/>
    </row>
    <row r="25" spans="1:16">
      <c r="K25" s="50">
        <f t="shared" ref="K25:P25" si="5">SUM(K7:K23)</f>
        <v>14403810</v>
      </c>
      <c r="L25" s="51">
        <f t="shared" si="5"/>
        <v>0.99999999999999989</v>
      </c>
      <c r="M25" s="2">
        <f t="shared" si="5"/>
        <v>3.1202807697198209</v>
      </c>
      <c r="N25" s="2">
        <f t="shared" si="5"/>
        <v>15127350.007999999</v>
      </c>
      <c r="O25" s="51">
        <f t="shared" si="5"/>
        <v>1</v>
      </c>
      <c r="P25" s="2">
        <f t="shared" si="5"/>
        <v>3.1814187863639503</v>
      </c>
    </row>
  </sheetData>
  <mergeCells count="2">
    <mergeCell ref="K5:M5"/>
    <mergeCell ref="N5:P5"/>
  </mergeCells>
  <hyperlinks>
    <hyperlink ref="B6" r:id="rId1" display="javascript:__doPostBack('ctl00$cphMain$BondScreenerResults$gvResult','Sort$Ticker')"/>
    <hyperlink ref="C6" r:id="rId2" display="javascript:__doPostBack('ctl00$cphMain$BondScreenerResults$gvResult','Sort$Coupon')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J112"/>
  <sheetViews>
    <sheetView tabSelected="1" workbookViewId="0">
      <pane xSplit="1" ySplit="9" topLeftCell="B95" activePane="bottomRight" state="frozen"/>
      <selection pane="topRight" activeCell="B1" sqref="B1"/>
      <selection pane="bottomLeft" activeCell="A10" sqref="A10"/>
      <selection pane="bottomRight" activeCell="B98" sqref="B98"/>
    </sheetView>
  </sheetViews>
  <sheetFormatPr defaultRowHeight="15"/>
  <cols>
    <col min="1" max="1" width="34.85546875" bestFit="1" customWidth="1"/>
    <col min="2" max="4" width="13.7109375" bestFit="1" customWidth="1"/>
    <col min="5" max="5" width="9.85546875" bestFit="1" customWidth="1"/>
    <col min="6" max="10" width="13.7109375" bestFit="1" customWidth="1"/>
  </cols>
  <sheetData>
    <row r="1" spans="1:10">
      <c r="A1" s="4" t="s">
        <v>47</v>
      </c>
      <c r="B1" s="5">
        <v>9.1899999999999996E-2</v>
      </c>
      <c r="C1" s="5"/>
      <c r="D1" s="4"/>
      <c r="E1" s="4"/>
      <c r="F1" s="4"/>
      <c r="G1" s="4"/>
      <c r="H1" s="4"/>
      <c r="I1" s="4"/>
      <c r="J1" s="4"/>
    </row>
    <row r="2" spans="1:10">
      <c r="A2" s="4" t="s">
        <v>14</v>
      </c>
      <c r="B2" s="5">
        <f>(D24/AVERAGE(B64:D64))</f>
        <v>6.0259140930067449E-2</v>
      </c>
      <c r="C2" s="4"/>
      <c r="D2" s="4"/>
      <c r="E2" s="4"/>
      <c r="F2" s="4"/>
      <c r="G2" s="4"/>
      <c r="H2" s="4"/>
      <c r="I2" s="4"/>
      <c r="J2" s="4"/>
    </row>
    <row r="3" spans="1:10">
      <c r="A3" s="4" t="s">
        <v>16</v>
      </c>
      <c r="B3" s="5">
        <f>D26/D25</f>
        <v>0.26309951060358888</v>
      </c>
      <c r="C3" s="4"/>
      <c r="D3" s="4"/>
      <c r="E3" s="4"/>
      <c r="F3" s="4"/>
      <c r="G3" s="4"/>
      <c r="H3" s="4"/>
      <c r="I3" s="4"/>
      <c r="J3" s="4"/>
    </row>
    <row r="4" spans="1:10">
      <c r="A4" s="4" t="s">
        <v>48</v>
      </c>
      <c r="B4" s="5">
        <f>D35/D34</f>
        <v>0.29353974397142008</v>
      </c>
      <c r="C4" s="4"/>
      <c r="D4" s="4"/>
      <c r="E4" s="4"/>
      <c r="F4" s="4"/>
      <c r="G4" s="4"/>
      <c r="H4" s="4"/>
      <c r="I4" s="4"/>
      <c r="J4" s="4"/>
    </row>
    <row r="5" spans="1:10">
      <c r="A5" s="4" t="s">
        <v>113</v>
      </c>
      <c r="B5" s="5">
        <v>0.02</v>
      </c>
      <c r="C5" s="4"/>
      <c r="D5" s="4"/>
      <c r="E5" s="4"/>
      <c r="F5" s="4"/>
      <c r="G5" s="4"/>
      <c r="H5" s="4"/>
      <c r="I5" s="4"/>
      <c r="J5" s="4"/>
    </row>
    <row r="6" spans="1:10">
      <c r="A6" s="4" t="s">
        <v>45</v>
      </c>
      <c r="B6" s="5">
        <v>8.5000000000000006E-2</v>
      </c>
      <c r="C6" s="4"/>
      <c r="D6" s="4"/>
      <c r="E6" s="4"/>
      <c r="F6" s="4"/>
      <c r="G6" s="4"/>
      <c r="H6" s="4"/>
      <c r="I6" s="4"/>
      <c r="J6" s="4"/>
    </row>
    <row r="7" spans="1:10">
      <c r="A7" s="4"/>
      <c r="B7" s="4"/>
      <c r="C7" s="4"/>
      <c r="D7" s="4"/>
      <c r="E7" s="4"/>
      <c r="F7" s="4"/>
      <c r="G7" s="4"/>
      <c r="H7" s="4"/>
      <c r="I7" s="4"/>
      <c r="J7" s="4"/>
    </row>
    <row r="8" spans="1:10">
      <c r="A8" s="4"/>
      <c r="B8" s="62" t="s">
        <v>49</v>
      </c>
      <c r="C8" s="62"/>
      <c r="D8" s="62"/>
      <c r="E8" s="4"/>
      <c r="F8" s="64" t="s">
        <v>50</v>
      </c>
      <c r="G8" s="64"/>
      <c r="H8" s="64"/>
      <c r="I8" s="64"/>
      <c r="J8" s="64"/>
    </row>
    <row r="9" spans="1:10">
      <c r="A9" s="20"/>
      <c r="B9" s="21">
        <v>39447</v>
      </c>
      <c r="C9" s="21">
        <v>39813</v>
      </c>
      <c r="D9" s="21">
        <v>40178</v>
      </c>
      <c r="E9" s="22" t="s">
        <v>51</v>
      </c>
      <c r="F9" s="21">
        <v>40543</v>
      </c>
      <c r="G9" s="21">
        <v>40908</v>
      </c>
      <c r="H9" s="21">
        <v>41274</v>
      </c>
      <c r="I9" s="21">
        <v>41639</v>
      </c>
      <c r="J9" s="21">
        <v>42004</v>
      </c>
    </row>
    <row r="10" spans="1:10">
      <c r="A10" s="23" t="s">
        <v>52</v>
      </c>
      <c r="B10" s="24"/>
      <c r="C10" s="24"/>
      <c r="D10" s="24"/>
      <c r="E10" s="4"/>
      <c r="F10" s="4"/>
      <c r="G10" s="4"/>
      <c r="H10" s="4"/>
      <c r="I10" s="4"/>
      <c r="J10" s="4"/>
    </row>
    <row r="11" spans="1:10">
      <c r="A11" s="4" t="s">
        <v>1</v>
      </c>
      <c r="B11" s="1">
        <v>76476000</v>
      </c>
      <c r="C11" s="1">
        <v>83503000</v>
      </c>
      <c r="D11" s="1">
        <v>79029000</v>
      </c>
      <c r="E11" s="4"/>
      <c r="F11" s="25">
        <f>D11*(1+$B$1)</f>
        <v>86291765.100000009</v>
      </c>
      <c r="G11" s="25">
        <f>F11*(1+$B$1)</f>
        <v>94221978.31269002</v>
      </c>
      <c r="H11" s="25">
        <f t="shared" ref="H11:J11" si="0">G11*(1+$B$1)</f>
        <v>102880978.11962624</v>
      </c>
      <c r="I11" s="25">
        <f t="shared" si="0"/>
        <v>112335740.00881989</v>
      </c>
      <c r="J11" s="25">
        <f t="shared" si="0"/>
        <v>122659394.51563045</v>
      </c>
    </row>
    <row r="12" spans="1:10">
      <c r="A12" s="4" t="s">
        <v>2</v>
      </c>
      <c r="B12" s="1">
        <v>36686000</v>
      </c>
      <c r="C12" s="1">
        <v>40695000</v>
      </c>
      <c r="D12" s="1">
        <v>38898000</v>
      </c>
      <c r="E12" s="5">
        <f>D12/D11</f>
        <v>0.49219906616558479</v>
      </c>
      <c r="F12" s="26">
        <f>F11*$E$12</f>
        <v>42472726.200000003</v>
      </c>
      <c r="G12" s="26">
        <f t="shared" ref="G12:J12" si="1">G11*$E$12</f>
        <v>46375969.737780012</v>
      </c>
      <c r="H12" s="26">
        <f t="shared" si="1"/>
        <v>50637921.356681995</v>
      </c>
      <c r="I12" s="26">
        <f t="shared" si="1"/>
        <v>55291546.329361074</v>
      </c>
      <c r="J12" s="26">
        <f t="shared" si="1"/>
        <v>60372839.437029362</v>
      </c>
    </row>
    <row r="13" spans="1:10">
      <c r="A13" s="18" t="s">
        <v>3</v>
      </c>
      <c r="B13" s="1">
        <v>39790000</v>
      </c>
      <c r="C13" s="1">
        <v>42808000</v>
      </c>
      <c r="D13" s="1">
        <v>40131000</v>
      </c>
      <c r="E13" s="5"/>
      <c r="F13" s="25">
        <f>F11-F12</f>
        <v>43819038.900000006</v>
      </c>
      <c r="G13" s="25">
        <f t="shared" ref="G13:J13" si="2">G11-G12</f>
        <v>47846008.574910007</v>
      </c>
      <c r="H13" s="25">
        <f t="shared" si="2"/>
        <v>52243056.762944244</v>
      </c>
      <c r="I13" s="25">
        <f t="shared" si="2"/>
        <v>57044193.679458819</v>
      </c>
      <c r="J13" s="25">
        <f t="shared" si="2"/>
        <v>62286555.078601092</v>
      </c>
    </row>
    <row r="14" spans="1:10">
      <c r="A14" s="27" t="s">
        <v>4</v>
      </c>
      <c r="E14" s="5"/>
      <c r="F14" s="4"/>
      <c r="G14" s="4"/>
      <c r="H14" s="4"/>
      <c r="I14" s="4"/>
      <c r="J14" s="4"/>
    </row>
    <row r="15" spans="1:10">
      <c r="A15" s="7" t="s">
        <v>5</v>
      </c>
      <c r="B15">
        <v>0</v>
      </c>
      <c r="C15">
        <v>0</v>
      </c>
      <c r="D15">
        <v>0</v>
      </c>
      <c r="E15" s="5">
        <f>D15/$D$11</f>
        <v>0</v>
      </c>
      <c r="F15" s="25">
        <f>F$11*$E15</f>
        <v>0</v>
      </c>
      <c r="G15" s="25">
        <f t="shared" ref="G15:J15" si="3">G$11*$E15</f>
        <v>0</v>
      </c>
      <c r="H15" s="25">
        <f t="shared" si="3"/>
        <v>0</v>
      </c>
      <c r="I15" s="25">
        <f t="shared" si="3"/>
        <v>0</v>
      </c>
      <c r="J15" s="25">
        <f t="shared" si="3"/>
        <v>0</v>
      </c>
    </row>
    <row r="16" spans="1:10">
      <c r="A16" s="7" t="s">
        <v>6</v>
      </c>
      <c r="B16" s="1">
        <v>24340000</v>
      </c>
      <c r="C16" s="1">
        <v>25725000</v>
      </c>
      <c r="D16" s="1">
        <v>24008000</v>
      </c>
      <c r="E16" s="5">
        <f>D16/$D$11</f>
        <v>0.30378721735059283</v>
      </c>
      <c r="F16" s="25">
        <f t="shared" ref="F16:J18" si="4">F$11*$E16</f>
        <v>26214335.200000003</v>
      </c>
      <c r="G16" s="25">
        <f t="shared" si="4"/>
        <v>28623432.604880005</v>
      </c>
      <c r="H16" s="25">
        <f t="shared" si="4"/>
        <v>31253926.061268482</v>
      </c>
      <c r="I16" s="25">
        <f t="shared" si="4"/>
        <v>34126161.866299056</v>
      </c>
      <c r="J16" s="25">
        <f t="shared" si="4"/>
        <v>37262356.141811945</v>
      </c>
    </row>
    <row r="17" spans="1:10">
      <c r="A17" s="7" t="s">
        <v>7</v>
      </c>
      <c r="B17">
        <v>0</v>
      </c>
      <c r="C17">
        <v>0</v>
      </c>
      <c r="D17">
        <v>0</v>
      </c>
      <c r="E17" s="5">
        <f>D17/$D$11</f>
        <v>0</v>
      </c>
      <c r="F17" s="25">
        <f t="shared" si="4"/>
        <v>0</v>
      </c>
      <c r="G17" s="25">
        <f t="shared" si="4"/>
        <v>0</v>
      </c>
      <c r="H17" s="25">
        <f t="shared" si="4"/>
        <v>0</v>
      </c>
      <c r="I17" s="25">
        <f t="shared" si="4"/>
        <v>0</v>
      </c>
      <c r="J17" s="25">
        <f t="shared" si="4"/>
        <v>0</v>
      </c>
    </row>
    <row r="18" spans="1:10">
      <c r="A18" s="7" t="s">
        <v>8</v>
      </c>
      <c r="B18">
        <v>0</v>
      </c>
      <c r="C18">
        <v>0</v>
      </c>
      <c r="D18">
        <v>0</v>
      </c>
      <c r="E18" s="5">
        <f>D18/$D$11</f>
        <v>0</v>
      </c>
      <c r="F18" s="25">
        <f t="shared" si="4"/>
        <v>0</v>
      </c>
      <c r="G18" s="25">
        <f t="shared" si="4"/>
        <v>0</v>
      </c>
      <c r="H18" s="25">
        <f t="shared" si="4"/>
        <v>0</v>
      </c>
      <c r="I18" s="25">
        <f t="shared" si="4"/>
        <v>0</v>
      </c>
      <c r="J18" s="25">
        <f t="shared" si="4"/>
        <v>0</v>
      </c>
    </row>
    <row r="19" spans="1:10">
      <c r="A19" s="7" t="s">
        <v>9</v>
      </c>
      <c r="B19" s="1">
        <v>24340000</v>
      </c>
      <c r="C19" s="1">
        <v>25725000</v>
      </c>
      <c r="D19" s="1">
        <v>24008000</v>
      </c>
      <c r="E19" s="5"/>
      <c r="F19" s="26">
        <f>SUM(F15:F18)</f>
        <v>26214335.200000003</v>
      </c>
      <c r="G19" s="26">
        <f t="shared" ref="G19:J19" si="5">SUM(G15:G18)</f>
        <v>28623432.604880005</v>
      </c>
      <c r="H19" s="26">
        <f t="shared" si="5"/>
        <v>31253926.061268482</v>
      </c>
      <c r="I19" s="26">
        <f t="shared" si="5"/>
        <v>34126161.866299056</v>
      </c>
      <c r="J19" s="26">
        <f t="shared" si="5"/>
        <v>37262356.141811945</v>
      </c>
    </row>
    <row r="20" spans="1:10">
      <c r="A20" s="18" t="s">
        <v>10</v>
      </c>
      <c r="B20" s="1">
        <v>15450000</v>
      </c>
      <c r="C20" s="1">
        <v>17083000</v>
      </c>
      <c r="D20" s="1">
        <v>16123000</v>
      </c>
      <c r="E20" s="5"/>
      <c r="F20" s="25">
        <f>F13-F19</f>
        <v>17604703.700000003</v>
      </c>
      <c r="G20" s="25">
        <f t="shared" ref="G20:J20" si="6">G13-G19</f>
        <v>19222575.970030002</v>
      </c>
      <c r="H20" s="25">
        <f t="shared" si="6"/>
        <v>20989130.701675761</v>
      </c>
      <c r="I20" s="25">
        <f t="shared" si="6"/>
        <v>22918031.813159764</v>
      </c>
      <c r="J20" s="25">
        <f t="shared" si="6"/>
        <v>25024198.936789148</v>
      </c>
    </row>
    <row r="21" spans="1:10">
      <c r="A21" s="27" t="s">
        <v>11</v>
      </c>
      <c r="E21" s="5"/>
      <c r="F21" s="4"/>
      <c r="G21" s="4"/>
      <c r="H21" s="4"/>
      <c r="I21" s="4"/>
      <c r="J21" s="4"/>
    </row>
    <row r="22" spans="1:10">
      <c r="A22" s="7" t="s">
        <v>12</v>
      </c>
      <c r="B22" s="1">
        <v>564000</v>
      </c>
      <c r="C22" s="1">
        <v>462000</v>
      </c>
      <c r="D22" s="1">
        <v>560000</v>
      </c>
      <c r="E22" s="5">
        <f>D22/$D$11</f>
        <v>7.0860064027129278E-3</v>
      </c>
      <c r="F22" s="26">
        <f>F$11*$E22</f>
        <v>611464</v>
      </c>
      <c r="G22" s="26">
        <f t="shared" ref="G22:J22" si="7">G$11*$E22</f>
        <v>667657.54160000011</v>
      </c>
      <c r="H22" s="26">
        <f t="shared" si="7"/>
        <v>729015.26967304014</v>
      </c>
      <c r="I22" s="26">
        <f t="shared" si="7"/>
        <v>796011.77295599261</v>
      </c>
      <c r="J22" s="26">
        <f t="shared" si="7"/>
        <v>869165.25489064842</v>
      </c>
    </row>
    <row r="23" spans="1:10">
      <c r="A23" s="17" t="s">
        <v>13</v>
      </c>
      <c r="B23" s="1">
        <v>16014000</v>
      </c>
      <c r="C23" s="1">
        <v>17545000</v>
      </c>
      <c r="D23" s="1">
        <v>16683000</v>
      </c>
      <c r="E23" s="5"/>
      <c r="F23" s="25">
        <f>F20+F22</f>
        <v>18216167.700000003</v>
      </c>
      <c r="G23" s="25">
        <f t="shared" ref="G23:J23" si="8">G20+G22</f>
        <v>19890233.511630002</v>
      </c>
      <c r="H23" s="25">
        <f t="shared" si="8"/>
        <v>21718145.9713488</v>
      </c>
      <c r="I23" s="25">
        <f t="shared" si="8"/>
        <v>23714043.586115755</v>
      </c>
      <c r="J23" s="25">
        <f t="shared" si="8"/>
        <v>25893364.191679794</v>
      </c>
    </row>
    <row r="24" spans="1:10">
      <c r="A24" s="7" t="s">
        <v>14</v>
      </c>
      <c r="B24" s="1">
        <v>1304000</v>
      </c>
      <c r="C24" s="1">
        <v>1467000</v>
      </c>
      <c r="D24" s="1">
        <v>1358000</v>
      </c>
      <c r="E24" s="5"/>
      <c r="F24" s="26">
        <f>B2*AVERAGE(D64,F64)</f>
        <v>1244471.7784877529</v>
      </c>
      <c r="G24" s="26">
        <f>$B$2*AVERAGE(F64,G64)</f>
        <v>1244471.7784877529</v>
      </c>
      <c r="H24" s="26">
        <f t="shared" ref="H24:J24" si="9">$B$2*AVERAGE(G64,H64)</f>
        <v>1244471.7784877529</v>
      </c>
      <c r="I24" s="26">
        <f t="shared" si="9"/>
        <v>1244471.7784877529</v>
      </c>
      <c r="J24" s="26">
        <f t="shared" si="9"/>
        <v>1244471.7784877529</v>
      </c>
    </row>
    <row r="25" spans="1:10">
      <c r="A25" s="17" t="s">
        <v>15</v>
      </c>
      <c r="B25" s="1">
        <v>14710000</v>
      </c>
      <c r="C25" s="1">
        <v>16078000</v>
      </c>
      <c r="D25" s="1">
        <v>15325000</v>
      </c>
      <c r="E25" s="5"/>
      <c r="F25" s="25">
        <f>F23-F24</f>
        <v>16971695.92151225</v>
      </c>
      <c r="G25" s="25">
        <f t="shared" ref="G25:J25" si="10">G23-G24</f>
        <v>18645761.733142249</v>
      </c>
      <c r="H25" s="25">
        <f t="shared" si="10"/>
        <v>20473674.192861047</v>
      </c>
      <c r="I25" s="25">
        <f t="shared" si="10"/>
        <v>22469571.807628002</v>
      </c>
      <c r="J25" s="25">
        <f t="shared" si="10"/>
        <v>24648892.413192041</v>
      </c>
    </row>
    <row r="26" spans="1:10">
      <c r="A26" s="7" t="s">
        <v>16</v>
      </c>
      <c r="B26" s="1">
        <v>4370000</v>
      </c>
      <c r="C26" s="1">
        <v>4003000</v>
      </c>
      <c r="D26" s="1">
        <v>4032000</v>
      </c>
      <c r="E26" s="5"/>
      <c r="F26" s="25">
        <f>F25*$B$3</f>
        <v>4465244.891062798</v>
      </c>
      <c r="G26" s="25">
        <f t="shared" ref="G26:J26" si="11">G25*$B$3</f>
        <v>4905690.7868208513</v>
      </c>
      <c r="H26" s="25">
        <f t="shared" si="11"/>
        <v>5386613.6603990691</v>
      </c>
      <c r="I26" s="25">
        <f t="shared" si="11"/>
        <v>5911733.3460591249</v>
      </c>
      <c r="J26" s="25">
        <f t="shared" si="11"/>
        <v>6485111.5308313407</v>
      </c>
    </row>
    <row r="27" spans="1:10">
      <c r="A27" s="7" t="s">
        <v>17</v>
      </c>
      <c r="B27">
        <v>0</v>
      </c>
      <c r="C27">
        <v>0</v>
      </c>
      <c r="D27">
        <v>0</v>
      </c>
      <c r="E27" s="5">
        <f t="shared" ref="E27:E56" si="12">D27/$D$11</f>
        <v>0</v>
      </c>
      <c r="F27" s="26">
        <v>0</v>
      </c>
      <c r="G27" s="26">
        <v>0</v>
      </c>
      <c r="H27" s="26">
        <v>0</v>
      </c>
      <c r="I27" s="26">
        <v>0</v>
      </c>
      <c r="J27" s="26">
        <v>0</v>
      </c>
    </row>
    <row r="28" spans="1:10">
      <c r="A28" s="17" t="s">
        <v>18</v>
      </c>
      <c r="B28" s="1">
        <v>10340000</v>
      </c>
      <c r="C28" s="1">
        <v>12075000</v>
      </c>
      <c r="D28" s="1">
        <v>11293000</v>
      </c>
      <c r="E28" s="5"/>
      <c r="F28" s="25">
        <f>F25-F26-F27</f>
        <v>12506451.030449452</v>
      </c>
      <c r="G28" s="25">
        <f t="shared" ref="G28:J28" si="13">G25-G26-G27</f>
        <v>13740070.946321398</v>
      </c>
      <c r="H28" s="25">
        <f t="shared" si="13"/>
        <v>15087060.532461978</v>
      </c>
      <c r="I28" s="25">
        <f t="shared" si="13"/>
        <v>16557838.461568877</v>
      </c>
      <c r="J28" s="25">
        <f t="shared" si="13"/>
        <v>18163780.882360701</v>
      </c>
    </row>
    <row r="29" spans="1:10">
      <c r="A29" s="27" t="s">
        <v>114</v>
      </c>
      <c r="E29" s="5"/>
      <c r="F29" s="4"/>
      <c r="G29" s="4"/>
      <c r="H29" s="4"/>
      <c r="I29" s="4"/>
      <c r="J29" s="4"/>
    </row>
    <row r="30" spans="1:10">
      <c r="A30" s="7" t="s">
        <v>19</v>
      </c>
      <c r="B30">
        <v>0</v>
      </c>
      <c r="C30">
        <v>0</v>
      </c>
      <c r="D30" s="1">
        <v>2143000</v>
      </c>
      <c r="E30" s="5">
        <f t="shared" si="12"/>
        <v>2.7116628073238936E-2</v>
      </c>
      <c r="F30" s="25">
        <v>0</v>
      </c>
      <c r="G30" s="25">
        <v>0</v>
      </c>
      <c r="H30" s="25">
        <v>0</v>
      </c>
      <c r="I30" s="25">
        <v>0</v>
      </c>
      <c r="J30" s="25">
        <v>0</v>
      </c>
    </row>
    <row r="31" spans="1:10">
      <c r="A31" s="7" t="s">
        <v>20</v>
      </c>
      <c r="B31">
        <v>0</v>
      </c>
      <c r="C31">
        <v>0</v>
      </c>
      <c r="D31">
        <v>0</v>
      </c>
      <c r="E31" s="5">
        <f t="shared" si="12"/>
        <v>0</v>
      </c>
      <c r="F31" s="25">
        <v>0</v>
      </c>
      <c r="G31" s="25">
        <v>0</v>
      </c>
      <c r="H31" s="25">
        <v>0</v>
      </c>
      <c r="I31" s="25">
        <v>0</v>
      </c>
      <c r="J31" s="25">
        <v>0</v>
      </c>
    </row>
    <row r="32" spans="1:10">
      <c r="A32" s="7" t="s">
        <v>21</v>
      </c>
      <c r="B32">
        <v>0</v>
      </c>
      <c r="C32">
        <v>0</v>
      </c>
      <c r="D32">
        <v>0</v>
      </c>
      <c r="E32" s="5">
        <f t="shared" si="12"/>
        <v>0</v>
      </c>
      <c r="F32" s="25">
        <v>0</v>
      </c>
      <c r="G32" s="25">
        <v>0</v>
      </c>
      <c r="H32" s="25">
        <v>0</v>
      </c>
      <c r="I32" s="25">
        <v>0</v>
      </c>
      <c r="J32" s="25">
        <v>0</v>
      </c>
    </row>
    <row r="33" spans="1:10">
      <c r="A33" s="7" t="s">
        <v>22</v>
      </c>
      <c r="B33">
        <v>0</v>
      </c>
      <c r="C33">
        <v>0</v>
      </c>
      <c r="D33">
        <v>0</v>
      </c>
      <c r="E33" s="5">
        <f t="shared" si="12"/>
        <v>0</v>
      </c>
      <c r="F33" s="26">
        <v>0</v>
      </c>
      <c r="G33" s="26">
        <v>0</v>
      </c>
      <c r="H33" s="26">
        <v>0</v>
      </c>
      <c r="I33" s="26">
        <v>0</v>
      </c>
      <c r="J33" s="26">
        <v>0</v>
      </c>
    </row>
    <row r="34" spans="1:10">
      <c r="A34" s="18" t="s">
        <v>23</v>
      </c>
      <c r="B34" s="39">
        <v>10340000</v>
      </c>
      <c r="C34" s="39">
        <v>12075000</v>
      </c>
      <c r="D34" s="39">
        <v>13436000</v>
      </c>
      <c r="E34" s="5"/>
      <c r="F34" s="28">
        <f>F28-SUM(F30:F33)</f>
        <v>12506451.030449452</v>
      </c>
      <c r="G34" s="28">
        <f t="shared" ref="G34:J34" si="14">G28-SUM(G30:G33)</f>
        <v>13740070.946321398</v>
      </c>
      <c r="H34" s="28">
        <f t="shared" si="14"/>
        <v>15087060.532461978</v>
      </c>
      <c r="I34" s="28">
        <f t="shared" si="14"/>
        <v>16557838.461568877</v>
      </c>
      <c r="J34" s="28">
        <f t="shared" si="14"/>
        <v>18163780.882360701</v>
      </c>
    </row>
    <row r="35" spans="1:10">
      <c r="A35" s="7" t="s">
        <v>53</v>
      </c>
      <c r="B35" s="25">
        <v>4988000</v>
      </c>
      <c r="C35" s="25">
        <v>4495000</v>
      </c>
      <c r="D35" s="25">
        <v>3944000</v>
      </c>
      <c r="E35" s="5"/>
      <c r="F35" s="28">
        <f>F34*$B$4</f>
        <v>3671140.433469235</v>
      </c>
      <c r="G35" s="28">
        <f t="shared" ref="G35:J35" si="15">G34*$B$4</f>
        <v>4033256.9077323307</v>
      </c>
      <c r="H35" s="28">
        <f t="shared" si="15"/>
        <v>4428651.8859802056</v>
      </c>
      <c r="I35" s="28">
        <f t="shared" si="15"/>
        <v>4860383.6627290603</v>
      </c>
      <c r="J35" s="28">
        <f t="shared" si="15"/>
        <v>5331791.5897611342</v>
      </c>
    </row>
    <row r="36" spans="1:10">
      <c r="A36" s="7" t="s">
        <v>54</v>
      </c>
      <c r="B36" s="29">
        <v>0</v>
      </c>
      <c r="C36" s="29">
        <v>0</v>
      </c>
      <c r="D36" s="29">
        <v>0</v>
      </c>
      <c r="E36" s="5"/>
      <c r="F36" s="29"/>
      <c r="G36" s="29"/>
      <c r="H36" s="29"/>
      <c r="I36" s="29"/>
      <c r="J36" s="29"/>
    </row>
    <row r="37" spans="1:10">
      <c r="A37" s="18" t="s">
        <v>55</v>
      </c>
      <c r="B37" s="28">
        <f>B34+B35</f>
        <v>15328000</v>
      </c>
      <c r="C37" s="28">
        <f>C34+C35</f>
        <v>16570000</v>
      </c>
      <c r="D37" s="28">
        <f>D34+D35</f>
        <v>17380000</v>
      </c>
      <c r="E37" s="5"/>
      <c r="F37" s="28">
        <f>F34+F35+F36</f>
        <v>16177591.463918686</v>
      </c>
      <c r="G37" s="28">
        <f t="shared" ref="G37:J37" si="16">G34+G35+G36</f>
        <v>17773327.854053728</v>
      </c>
      <c r="H37" s="28">
        <f t="shared" si="16"/>
        <v>19515712.418442182</v>
      </c>
      <c r="I37" s="28">
        <f t="shared" si="16"/>
        <v>21418222.124297939</v>
      </c>
      <c r="J37" s="28">
        <f t="shared" si="16"/>
        <v>23495572.472121835</v>
      </c>
    </row>
    <row r="38" spans="1:10">
      <c r="A38" s="18"/>
      <c r="B38" s="28"/>
      <c r="C38" s="28"/>
      <c r="D38" s="28"/>
      <c r="E38" s="5"/>
      <c r="F38" s="28"/>
      <c r="G38" s="28"/>
      <c r="H38" s="28"/>
      <c r="I38" s="28"/>
      <c r="J38" s="28"/>
    </row>
    <row r="39" spans="1:10">
      <c r="A39" s="4"/>
      <c r="B39" s="4"/>
      <c r="C39" s="4"/>
      <c r="D39" s="4"/>
      <c r="E39" s="5"/>
      <c r="F39" s="4"/>
      <c r="G39" s="4"/>
      <c r="H39" s="4"/>
      <c r="I39" s="4"/>
      <c r="J39" s="4"/>
    </row>
    <row r="40" spans="1:10">
      <c r="A40" s="20" t="s">
        <v>0</v>
      </c>
      <c r="B40" s="21">
        <v>39447</v>
      </c>
      <c r="C40" s="21">
        <v>39813</v>
      </c>
      <c r="D40" s="21">
        <v>40178</v>
      </c>
      <c r="E40" s="5"/>
      <c r="F40" s="21">
        <v>40543</v>
      </c>
      <c r="G40" s="21">
        <v>40908</v>
      </c>
      <c r="H40" s="21">
        <v>41274</v>
      </c>
      <c r="I40" s="21">
        <v>41639</v>
      </c>
      <c r="J40" s="21">
        <v>42004</v>
      </c>
    </row>
    <row r="41" spans="1:10">
      <c r="A41" s="18" t="s">
        <v>56</v>
      </c>
      <c r="B41" s="4"/>
      <c r="C41" s="4"/>
      <c r="D41" s="4"/>
      <c r="E41" s="5"/>
      <c r="F41" s="4"/>
      <c r="G41" s="4"/>
      <c r="H41" s="4"/>
      <c r="I41" s="4"/>
      <c r="J41" s="4"/>
    </row>
    <row r="42" spans="1:10">
      <c r="A42" s="4" t="s">
        <v>57</v>
      </c>
      <c r="B42" s="4"/>
      <c r="C42" s="4"/>
      <c r="D42" s="4"/>
      <c r="E42" s="5"/>
      <c r="F42" s="4"/>
      <c r="G42" s="4"/>
      <c r="H42" s="4"/>
      <c r="I42" s="4"/>
      <c r="J42" s="4"/>
    </row>
    <row r="43" spans="1:10">
      <c r="A43" s="4" t="s">
        <v>58</v>
      </c>
      <c r="B43" s="4"/>
      <c r="C43" s="4"/>
      <c r="D43" s="4"/>
      <c r="E43" s="5"/>
      <c r="F43" s="4"/>
      <c r="G43" s="4"/>
      <c r="H43" s="4"/>
      <c r="I43" s="4"/>
      <c r="J43" s="4"/>
    </row>
    <row r="44" spans="1:10">
      <c r="A44" s="7" t="s">
        <v>59</v>
      </c>
      <c r="B44" s="1">
        <v>5354000</v>
      </c>
      <c r="C44" s="1">
        <v>3313000</v>
      </c>
      <c r="D44" s="1">
        <v>4781000</v>
      </c>
      <c r="E44" s="5">
        <f t="shared" si="12"/>
        <v>6.0496779663161623E-2</v>
      </c>
      <c r="F44" s="25">
        <f>F$11*$E44</f>
        <v>5220373.9000000004</v>
      </c>
      <c r="G44" s="25">
        <f t="shared" ref="G44:J44" si="17">G$11*$E44</f>
        <v>5700126.2614100007</v>
      </c>
      <c r="H44" s="25">
        <f t="shared" si="17"/>
        <v>6223967.8648335803</v>
      </c>
      <c r="I44" s="25">
        <f t="shared" si="17"/>
        <v>6795950.5116117867</v>
      </c>
      <c r="J44" s="25">
        <f t="shared" si="17"/>
        <v>7420498.3636289109</v>
      </c>
    </row>
    <row r="45" spans="1:10">
      <c r="A45" s="7" t="s">
        <v>60</v>
      </c>
      <c r="B45" s="1">
        <v>202000</v>
      </c>
      <c r="C45" s="1">
        <v>228000</v>
      </c>
      <c r="D45">
        <v>0</v>
      </c>
      <c r="E45" s="5">
        <f t="shared" si="12"/>
        <v>0</v>
      </c>
      <c r="F45" s="25">
        <f t="shared" ref="F45:J48" si="18">F$11*$E45</f>
        <v>0</v>
      </c>
      <c r="G45" s="25">
        <f t="shared" si="18"/>
        <v>0</v>
      </c>
      <c r="H45" s="25">
        <f t="shared" si="18"/>
        <v>0</v>
      </c>
      <c r="I45" s="25">
        <f t="shared" si="18"/>
        <v>0</v>
      </c>
      <c r="J45" s="25">
        <f t="shared" si="18"/>
        <v>0</v>
      </c>
    </row>
    <row r="46" spans="1:10">
      <c r="A46" s="7" t="s">
        <v>61</v>
      </c>
      <c r="B46" s="1">
        <v>8356000</v>
      </c>
      <c r="C46" s="1">
        <v>8773000</v>
      </c>
      <c r="D46" s="1">
        <v>7045000</v>
      </c>
      <c r="E46" s="5">
        <f t="shared" si="12"/>
        <v>8.9144491262701034E-2</v>
      </c>
      <c r="F46" s="25">
        <f t="shared" si="18"/>
        <v>7692435.5000000009</v>
      </c>
      <c r="G46" s="25">
        <f t="shared" si="18"/>
        <v>8399370.3224500027</v>
      </c>
      <c r="H46" s="25">
        <f t="shared" si="18"/>
        <v>9171272.4550831579</v>
      </c>
      <c r="I46" s="25">
        <f t="shared" si="18"/>
        <v>10014112.393705299</v>
      </c>
      <c r="J46" s="25">
        <f t="shared" si="18"/>
        <v>10934409.322686817</v>
      </c>
    </row>
    <row r="47" spans="1:10">
      <c r="A47" s="7" t="s">
        <v>62</v>
      </c>
      <c r="B47" s="1">
        <v>6819000</v>
      </c>
      <c r="C47" s="1">
        <v>8416000</v>
      </c>
      <c r="D47" s="1">
        <v>6880000</v>
      </c>
      <c r="E47" s="5">
        <f t="shared" si="12"/>
        <v>8.7056650090473114E-2</v>
      </c>
      <c r="F47" s="25">
        <f t="shared" si="18"/>
        <v>7512272.0000000009</v>
      </c>
      <c r="G47" s="25">
        <f t="shared" si="18"/>
        <v>8202649.7968000015</v>
      </c>
      <c r="H47" s="25">
        <f t="shared" si="18"/>
        <v>8956473.3131259214</v>
      </c>
      <c r="I47" s="25">
        <f t="shared" si="18"/>
        <v>9779573.2106021941</v>
      </c>
      <c r="J47" s="25">
        <f t="shared" si="18"/>
        <v>10678315.988656538</v>
      </c>
    </row>
    <row r="48" spans="1:10">
      <c r="A48" s="7" t="s">
        <v>63</v>
      </c>
      <c r="B48" s="1">
        <v>3300000</v>
      </c>
      <c r="C48" s="1">
        <v>3785000</v>
      </c>
      <c r="D48" s="1">
        <v>3199000</v>
      </c>
      <c r="E48" s="5">
        <f t="shared" si="12"/>
        <v>4.0478811575497604E-2</v>
      </c>
      <c r="F48" s="25">
        <f t="shared" si="18"/>
        <v>3492988.1000000006</v>
      </c>
      <c r="G48" s="25">
        <f t="shared" si="18"/>
        <v>3813993.7063900009</v>
      </c>
      <c r="H48" s="25">
        <f t="shared" si="18"/>
        <v>4164499.7280072425</v>
      </c>
      <c r="I48" s="25">
        <f t="shared" si="18"/>
        <v>4547217.2530111084</v>
      </c>
      <c r="J48" s="25">
        <f t="shared" si="18"/>
        <v>4965106.5185628291</v>
      </c>
    </row>
    <row r="49" spans="1:10">
      <c r="A49" s="18" t="s">
        <v>64</v>
      </c>
      <c r="B49" s="1">
        <v>24031000</v>
      </c>
      <c r="C49" s="1">
        <v>24515000</v>
      </c>
      <c r="D49" s="1">
        <v>21905000</v>
      </c>
      <c r="E49" s="5"/>
      <c r="F49" s="25">
        <f>SUM(F44:F48)</f>
        <v>23918069.500000004</v>
      </c>
      <c r="G49" s="25">
        <f t="shared" ref="G49:J49" si="19">SUM(G44:G48)</f>
        <v>26116140.087050006</v>
      </c>
      <c r="H49" s="25">
        <f t="shared" si="19"/>
        <v>28516213.361049902</v>
      </c>
      <c r="I49" s="25">
        <f t="shared" si="19"/>
        <v>31136853.368930388</v>
      </c>
      <c r="J49" s="25">
        <f t="shared" si="19"/>
        <v>33998330.193535097</v>
      </c>
    </row>
    <row r="50" spans="1:10">
      <c r="A50" s="4" t="s">
        <v>65</v>
      </c>
      <c r="B50">
        <v>0</v>
      </c>
      <c r="C50">
        <v>0</v>
      </c>
      <c r="D50">
        <v>0</v>
      </c>
      <c r="E50" s="5">
        <f t="shared" si="12"/>
        <v>0</v>
      </c>
      <c r="F50" s="25">
        <f>F$11*$E50</f>
        <v>0</v>
      </c>
      <c r="G50" s="25">
        <f t="shared" ref="G50:J50" si="20">G$11*$E50</f>
        <v>0</v>
      </c>
      <c r="H50" s="25">
        <f t="shared" si="20"/>
        <v>0</v>
      </c>
      <c r="I50" s="25">
        <f t="shared" si="20"/>
        <v>0</v>
      </c>
      <c r="J50" s="25">
        <f t="shared" si="20"/>
        <v>0</v>
      </c>
    </row>
    <row r="51" spans="1:10">
      <c r="A51" s="4" t="s">
        <v>66</v>
      </c>
      <c r="B51" s="1">
        <v>19540000</v>
      </c>
      <c r="C51" s="1">
        <v>20640000</v>
      </c>
      <c r="D51" s="1">
        <v>19462000</v>
      </c>
      <c r="E51" s="5">
        <f t="shared" si="12"/>
        <v>0.24626402965999822</v>
      </c>
      <c r="F51" s="25">
        <f t="shared" ref="F51:J56" si="21">F$11*$E51</f>
        <v>21250557.800000001</v>
      </c>
      <c r="G51" s="25">
        <f t="shared" si="21"/>
        <v>23203484.061820004</v>
      </c>
      <c r="H51" s="25">
        <f t="shared" si="21"/>
        <v>25335884.247101262</v>
      </c>
      <c r="I51" s="25">
        <f t="shared" si="21"/>
        <v>27664252.009409871</v>
      </c>
      <c r="J51" s="25">
        <f t="shared" si="21"/>
        <v>30206596.769074641</v>
      </c>
    </row>
    <row r="52" spans="1:10">
      <c r="A52" s="4" t="s">
        <v>67</v>
      </c>
      <c r="B52" s="1">
        <v>56552000</v>
      </c>
      <c r="C52" s="1">
        <v>59767000</v>
      </c>
      <c r="D52" s="1">
        <v>56512000</v>
      </c>
      <c r="E52" s="5">
        <f t="shared" si="12"/>
        <v>0.71507927469663035</v>
      </c>
      <c r="F52" s="25">
        <f t="shared" si="21"/>
        <v>61705452.800000004</v>
      </c>
      <c r="G52" s="25">
        <f t="shared" si="21"/>
        <v>67376183.912320018</v>
      </c>
      <c r="H52" s="25">
        <f t="shared" si="21"/>
        <v>73568055.213862225</v>
      </c>
      <c r="I52" s="25">
        <f t="shared" si="21"/>
        <v>80328959.488016173</v>
      </c>
      <c r="J52" s="25">
        <f t="shared" si="21"/>
        <v>87711190.864964858</v>
      </c>
    </row>
    <row r="53" spans="1:10">
      <c r="A53" s="4" t="s">
        <v>68</v>
      </c>
      <c r="B53" s="1">
        <v>33626000</v>
      </c>
      <c r="C53" s="1">
        <v>34233000</v>
      </c>
      <c r="D53" s="1">
        <v>32606000</v>
      </c>
      <c r="E53" s="5">
        <f t="shared" si="12"/>
        <v>0.41258272279796027</v>
      </c>
      <c r="F53" s="25">
        <f t="shared" si="21"/>
        <v>35602491.400000006</v>
      </c>
      <c r="G53" s="25">
        <f t="shared" si="21"/>
        <v>38874360.359660007</v>
      </c>
      <c r="H53" s="25">
        <f t="shared" si="21"/>
        <v>42446914.076712765</v>
      </c>
      <c r="I53" s="25">
        <f t="shared" si="21"/>
        <v>46347785.480362676</v>
      </c>
      <c r="J53" s="25">
        <f t="shared" si="21"/>
        <v>50607146.966008008</v>
      </c>
    </row>
    <row r="54" spans="1:10">
      <c r="A54" s="4" t="s">
        <v>69</v>
      </c>
      <c r="B54">
        <v>0</v>
      </c>
      <c r="C54">
        <v>0</v>
      </c>
      <c r="D54">
        <v>0</v>
      </c>
      <c r="E54" s="5">
        <f t="shared" si="12"/>
        <v>0</v>
      </c>
      <c r="F54" s="25">
        <f t="shared" si="21"/>
        <v>0</v>
      </c>
      <c r="G54" s="25">
        <f t="shared" si="21"/>
        <v>0</v>
      </c>
      <c r="H54" s="25">
        <f t="shared" si="21"/>
        <v>0</v>
      </c>
      <c r="I54" s="25">
        <f t="shared" si="21"/>
        <v>0</v>
      </c>
      <c r="J54" s="25">
        <f t="shared" si="21"/>
        <v>0</v>
      </c>
    </row>
    <row r="55" spans="1:10">
      <c r="A55" s="4" t="s">
        <v>70</v>
      </c>
      <c r="B55" s="1">
        <v>4265000</v>
      </c>
      <c r="C55" s="1">
        <v>4837000</v>
      </c>
      <c r="D55" s="1">
        <v>4348000</v>
      </c>
      <c r="E55" s="5">
        <f t="shared" si="12"/>
        <v>5.5017778283921091E-2</v>
      </c>
      <c r="F55" s="25">
        <f t="shared" si="21"/>
        <v>4747581.2</v>
      </c>
      <c r="G55" s="25">
        <f t="shared" si="21"/>
        <v>5183883.9122800007</v>
      </c>
      <c r="H55" s="25">
        <f t="shared" si="21"/>
        <v>5660282.8438185332</v>
      </c>
      <c r="I55" s="25">
        <f t="shared" si="21"/>
        <v>6180462.8371654572</v>
      </c>
      <c r="J55" s="25">
        <f t="shared" si="21"/>
        <v>6748447.3719009627</v>
      </c>
    </row>
    <row r="56" spans="1:10">
      <c r="A56" s="4" t="s">
        <v>71</v>
      </c>
      <c r="B56">
        <v>0</v>
      </c>
      <c r="C56">
        <v>0</v>
      </c>
      <c r="D56">
        <v>0</v>
      </c>
      <c r="E56" s="5">
        <f t="shared" si="12"/>
        <v>0</v>
      </c>
      <c r="F56" s="25">
        <f t="shared" si="21"/>
        <v>0</v>
      </c>
      <c r="G56" s="25">
        <f t="shared" si="21"/>
        <v>0</v>
      </c>
      <c r="H56" s="25">
        <f t="shared" si="21"/>
        <v>0</v>
      </c>
      <c r="I56" s="25">
        <f t="shared" si="21"/>
        <v>0</v>
      </c>
      <c r="J56" s="25">
        <f t="shared" si="21"/>
        <v>0</v>
      </c>
    </row>
    <row r="57" spans="1:10">
      <c r="A57" s="18" t="s">
        <v>72</v>
      </c>
      <c r="B57" s="1">
        <v>138014000</v>
      </c>
      <c r="C57" s="1">
        <v>143992000</v>
      </c>
      <c r="D57" s="1">
        <v>134833000</v>
      </c>
      <c r="E57" s="5"/>
      <c r="F57" s="28">
        <f>SUM(F49:F56)</f>
        <v>147224152.69999999</v>
      </c>
      <c r="G57" s="28">
        <f t="shared" ref="G57:J57" si="22">SUM(G49:G56)</f>
        <v>160754052.33313003</v>
      </c>
      <c r="H57" s="28">
        <f t="shared" si="22"/>
        <v>175527349.74254471</v>
      </c>
      <c r="I57" s="28">
        <f t="shared" si="22"/>
        <v>191658313.18388456</v>
      </c>
      <c r="J57" s="28">
        <f t="shared" si="22"/>
        <v>209271712.16548359</v>
      </c>
    </row>
    <row r="58" spans="1:10">
      <c r="A58" s="4" t="s">
        <v>73</v>
      </c>
      <c r="B58" s="4"/>
      <c r="C58" s="4"/>
      <c r="D58" s="4"/>
      <c r="E58" s="5"/>
      <c r="F58" s="4"/>
      <c r="G58" s="4"/>
      <c r="H58" s="4"/>
      <c r="I58" s="4"/>
      <c r="J58" s="4"/>
    </row>
    <row r="59" spans="1:10">
      <c r="A59" s="4" t="s">
        <v>74</v>
      </c>
      <c r="B59" s="4"/>
      <c r="C59" s="4"/>
      <c r="D59" s="4"/>
      <c r="E59" s="5"/>
      <c r="F59" s="4"/>
      <c r="G59" s="4"/>
      <c r="H59" s="4"/>
      <c r="I59" s="4"/>
      <c r="J59" s="4"/>
    </row>
    <row r="60" spans="1:10">
      <c r="A60" s="4" t="s">
        <v>75</v>
      </c>
      <c r="B60" s="1">
        <v>13628000</v>
      </c>
      <c r="C60" s="1">
        <v>7977000</v>
      </c>
      <c r="D60" s="1">
        <v>6813000</v>
      </c>
      <c r="E60" s="5">
        <f>D60/$D$11</f>
        <v>8.620886003871997E-2</v>
      </c>
      <c r="F60" s="25">
        <f>F$11*$E60</f>
        <v>7439114.7000000011</v>
      </c>
      <c r="G60" s="25">
        <f t="shared" ref="G60:J60" si="23">G$11*$E60</f>
        <v>8122769.3409300027</v>
      </c>
      <c r="H60" s="25">
        <f t="shared" si="23"/>
        <v>8869251.8433614708</v>
      </c>
      <c r="I60" s="25">
        <f t="shared" si="23"/>
        <v>9684336.0877663903</v>
      </c>
      <c r="J60" s="25">
        <f t="shared" si="23"/>
        <v>10574326.574232122</v>
      </c>
    </row>
    <row r="61" spans="1:10">
      <c r="A61" s="4" t="s">
        <v>76</v>
      </c>
      <c r="B61" s="1">
        <v>12039000</v>
      </c>
      <c r="C61" s="1">
        <v>13084000</v>
      </c>
      <c r="D61" s="1">
        <v>16320000</v>
      </c>
      <c r="E61" s="5"/>
      <c r="F61" s="25">
        <f>D61</f>
        <v>16320000</v>
      </c>
      <c r="G61" s="25">
        <f>F61</f>
        <v>16320000</v>
      </c>
      <c r="H61" s="25">
        <f t="shared" ref="H61:J61" si="24">G61</f>
        <v>16320000</v>
      </c>
      <c r="I61" s="25">
        <f t="shared" si="24"/>
        <v>16320000</v>
      </c>
      <c r="J61" s="25">
        <f t="shared" si="24"/>
        <v>16320000</v>
      </c>
    </row>
    <row r="62" spans="1:10">
      <c r="A62" s="4" t="s">
        <v>77</v>
      </c>
      <c r="B62" s="1">
        <v>5050000</v>
      </c>
      <c r="C62" s="1">
        <v>9897000</v>
      </c>
      <c r="D62" s="1">
        <v>7768000</v>
      </c>
      <c r="E62" s="5"/>
      <c r="F62" s="25">
        <f>D62</f>
        <v>7768000</v>
      </c>
      <c r="G62" s="25">
        <f>F62</f>
        <v>7768000</v>
      </c>
      <c r="H62" s="25">
        <f t="shared" ref="H62:J62" si="25">G62</f>
        <v>7768000</v>
      </c>
      <c r="I62" s="25">
        <f t="shared" si="25"/>
        <v>7768000</v>
      </c>
      <c r="J62" s="25">
        <f t="shared" si="25"/>
        <v>7768000</v>
      </c>
    </row>
    <row r="63" spans="1:10">
      <c r="A63" s="18" t="s">
        <v>78</v>
      </c>
      <c r="B63" s="1">
        <v>30717000</v>
      </c>
      <c r="C63" s="1">
        <v>30958000</v>
      </c>
      <c r="D63" s="1">
        <v>30901000</v>
      </c>
      <c r="E63" s="4"/>
      <c r="F63" s="25">
        <f>SUM(F60:F62)</f>
        <v>31527114.700000003</v>
      </c>
      <c r="G63" s="25">
        <f t="shared" ref="G63:J63" si="26">SUM(G60:G62)</f>
        <v>32210769.340930004</v>
      </c>
      <c r="H63" s="25">
        <f t="shared" si="26"/>
        <v>32957251.843361471</v>
      </c>
      <c r="I63" s="25">
        <f t="shared" si="26"/>
        <v>33772336.087766394</v>
      </c>
      <c r="J63" s="25">
        <f t="shared" si="26"/>
        <v>34662326.574232124</v>
      </c>
    </row>
    <row r="64" spans="1:10">
      <c r="A64" s="4" t="s">
        <v>79</v>
      </c>
      <c r="B64" s="1">
        <v>23375000</v>
      </c>
      <c r="C64" s="1">
        <v>23581000</v>
      </c>
      <c r="D64" s="1">
        <v>20652000</v>
      </c>
      <c r="E64" s="4"/>
      <c r="F64" s="25">
        <f>D64</f>
        <v>20652000</v>
      </c>
      <c r="G64" s="25">
        <f>F64</f>
        <v>20652000</v>
      </c>
      <c r="H64" s="25">
        <f t="shared" ref="H64:J64" si="27">G64</f>
        <v>20652000</v>
      </c>
      <c r="I64" s="25">
        <f t="shared" si="27"/>
        <v>20652000</v>
      </c>
      <c r="J64" s="25">
        <f t="shared" si="27"/>
        <v>20652000</v>
      </c>
    </row>
    <row r="65" spans="1:10">
      <c r="A65" s="4" t="s">
        <v>80</v>
      </c>
      <c r="B65" s="1">
        <v>5147000</v>
      </c>
      <c r="C65" s="1">
        <v>8154000</v>
      </c>
      <c r="D65" s="1">
        <v>9429000</v>
      </c>
      <c r="E65" s="5"/>
      <c r="F65" s="25">
        <f t="shared" ref="F65:F68" si="28">D65</f>
        <v>9429000</v>
      </c>
      <c r="G65" s="25">
        <f t="shared" ref="G65:J65" si="29">F65</f>
        <v>9429000</v>
      </c>
      <c r="H65" s="25">
        <f t="shared" si="29"/>
        <v>9429000</v>
      </c>
      <c r="I65" s="25">
        <f t="shared" si="29"/>
        <v>9429000</v>
      </c>
      <c r="J65" s="25">
        <f t="shared" si="29"/>
        <v>9429000</v>
      </c>
    </row>
    <row r="66" spans="1:10">
      <c r="A66" s="4" t="s">
        <v>81</v>
      </c>
      <c r="B66" s="1">
        <v>12015000</v>
      </c>
      <c r="C66" s="1">
        <v>11805000</v>
      </c>
      <c r="D66" s="1">
        <v>10752000</v>
      </c>
      <c r="E66" s="5"/>
      <c r="F66" s="25">
        <f t="shared" si="28"/>
        <v>10752000</v>
      </c>
      <c r="G66" s="25">
        <f t="shared" ref="G66:J66" si="30">F66</f>
        <v>10752000</v>
      </c>
      <c r="H66" s="25">
        <f t="shared" si="30"/>
        <v>10752000</v>
      </c>
      <c r="I66" s="25">
        <f t="shared" si="30"/>
        <v>10752000</v>
      </c>
      <c r="J66" s="25">
        <f t="shared" si="30"/>
        <v>10752000</v>
      </c>
    </row>
    <row r="67" spans="1:10">
      <c r="A67" s="4" t="s">
        <v>17</v>
      </c>
      <c r="B67">
        <v>0</v>
      </c>
      <c r="C67">
        <v>0</v>
      </c>
      <c r="D67">
        <v>0</v>
      </c>
      <c r="E67" s="4"/>
      <c r="F67" s="25">
        <f t="shared" si="28"/>
        <v>0</v>
      </c>
      <c r="G67" s="25">
        <f t="shared" ref="G67:J67" si="31">F67</f>
        <v>0</v>
      </c>
      <c r="H67" s="25">
        <f t="shared" si="31"/>
        <v>0</v>
      </c>
      <c r="I67" s="25">
        <f t="shared" si="31"/>
        <v>0</v>
      </c>
      <c r="J67" s="25">
        <f t="shared" si="31"/>
        <v>0</v>
      </c>
    </row>
    <row r="68" spans="1:10">
      <c r="A68" s="4" t="s">
        <v>82</v>
      </c>
      <c r="B68">
        <v>0</v>
      </c>
      <c r="C68">
        <v>0</v>
      </c>
      <c r="D68">
        <v>0</v>
      </c>
      <c r="E68" s="4"/>
      <c r="F68" s="25">
        <f t="shared" si="28"/>
        <v>0</v>
      </c>
      <c r="G68" s="25">
        <f t="shared" ref="G68:J68" si="32">F68</f>
        <v>0</v>
      </c>
      <c r="H68" s="25">
        <f t="shared" si="32"/>
        <v>0</v>
      </c>
      <c r="I68" s="25">
        <f t="shared" si="32"/>
        <v>0</v>
      </c>
      <c r="J68" s="25">
        <f t="shared" si="32"/>
        <v>0</v>
      </c>
    </row>
    <row r="69" spans="1:10">
      <c r="A69" s="18" t="s">
        <v>83</v>
      </c>
      <c r="B69" s="1">
        <v>71254000</v>
      </c>
      <c r="C69" s="1">
        <v>74498000</v>
      </c>
      <c r="D69" s="1">
        <v>71734000</v>
      </c>
      <c r="E69" s="18"/>
      <c r="F69" s="28">
        <f>SUM(F63:F68)</f>
        <v>72360114.700000003</v>
      </c>
      <c r="G69" s="28">
        <f t="shared" ref="G69:J69" si="33">SUM(G63:G68)</f>
        <v>73043769.34093</v>
      </c>
      <c r="H69" s="28">
        <f t="shared" si="33"/>
        <v>73790251.843361467</v>
      </c>
      <c r="I69" s="28">
        <f t="shared" si="33"/>
        <v>74605336.087766394</v>
      </c>
      <c r="J69" s="28">
        <f t="shared" si="33"/>
        <v>75495326.574232131</v>
      </c>
    </row>
    <row r="70" spans="1:10">
      <c r="A70" s="4" t="s">
        <v>84</v>
      </c>
      <c r="B70" s="4"/>
      <c r="C70" s="4"/>
      <c r="D70" s="4"/>
      <c r="E70" s="4"/>
      <c r="F70" s="4"/>
      <c r="G70" s="4"/>
      <c r="H70" s="4"/>
      <c r="I70" s="4"/>
      <c r="J70" s="4"/>
    </row>
    <row r="71" spans="1:10">
      <c r="A71" s="4" t="s">
        <v>85</v>
      </c>
      <c r="B71">
        <v>0</v>
      </c>
      <c r="C71">
        <v>0</v>
      </c>
      <c r="D71">
        <v>0</v>
      </c>
      <c r="E71" s="4"/>
      <c r="F71" s="25">
        <f>D71</f>
        <v>0</v>
      </c>
      <c r="G71" s="25">
        <f>F71</f>
        <v>0</v>
      </c>
      <c r="H71" s="25">
        <f t="shared" ref="H71:J71" si="34">G71</f>
        <v>0</v>
      </c>
      <c r="I71" s="25">
        <f t="shared" si="34"/>
        <v>0</v>
      </c>
      <c r="J71" s="25">
        <f t="shared" si="34"/>
        <v>0</v>
      </c>
    </row>
    <row r="72" spans="1:10">
      <c r="A72" s="4" t="s">
        <v>86</v>
      </c>
      <c r="B72">
        <v>0</v>
      </c>
      <c r="C72">
        <v>0</v>
      </c>
      <c r="D72">
        <v>0</v>
      </c>
      <c r="E72" s="4"/>
      <c r="F72" s="25">
        <f t="shared" ref="F72:F78" si="35">D72</f>
        <v>0</v>
      </c>
      <c r="G72" s="25">
        <f t="shared" ref="G72:J72" si="36">F72</f>
        <v>0</v>
      </c>
      <c r="H72" s="25">
        <f t="shared" si="36"/>
        <v>0</v>
      </c>
      <c r="I72" s="25">
        <f t="shared" si="36"/>
        <v>0</v>
      </c>
      <c r="J72" s="25">
        <f t="shared" si="36"/>
        <v>0</v>
      </c>
    </row>
    <row r="73" spans="1:10">
      <c r="A73" s="4" t="s">
        <v>87</v>
      </c>
      <c r="B73" s="1">
        <v>1406000</v>
      </c>
      <c r="C73" s="1">
        <v>1366000</v>
      </c>
      <c r="D73" s="1">
        <v>1324000</v>
      </c>
      <c r="E73" s="4"/>
      <c r="F73" s="25">
        <f t="shared" si="35"/>
        <v>1324000</v>
      </c>
      <c r="G73" s="25">
        <f t="shared" ref="G73:J73" si="37">F73</f>
        <v>1324000</v>
      </c>
      <c r="H73" s="25">
        <f t="shared" si="37"/>
        <v>1324000</v>
      </c>
      <c r="I73" s="25">
        <f t="shared" si="37"/>
        <v>1324000</v>
      </c>
      <c r="J73" s="25">
        <f t="shared" si="37"/>
        <v>1324000</v>
      </c>
    </row>
    <row r="74" spans="1:10">
      <c r="A74" s="4" t="s">
        <v>88</v>
      </c>
      <c r="B74" s="1">
        <v>3990000</v>
      </c>
      <c r="C74" s="1">
        <v>4002000</v>
      </c>
      <c r="D74" s="1">
        <v>4007000</v>
      </c>
      <c r="E74" s="4"/>
      <c r="F74" s="25">
        <f t="shared" si="35"/>
        <v>4007000</v>
      </c>
      <c r="G74" s="25">
        <f t="shared" ref="G74:J74" si="38">F74</f>
        <v>4007000</v>
      </c>
      <c r="H74" s="25">
        <f t="shared" si="38"/>
        <v>4007000</v>
      </c>
      <c r="I74" s="25">
        <f t="shared" si="38"/>
        <v>4007000</v>
      </c>
      <c r="J74" s="25">
        <f t="shared" si="38"/>
        <v>4007000</v>
      </c>
    </row>
    <row r="75" spans="1:10">
      <c r="A75" s="4" t="s">
        <v>89</v>
      </c>
      <c r="B75" s="1">
        <v>41797000</v>
      </c>
      <c r="C75" s="1">
        <v>48986000</v>
      </c>
      <c r="D75" s="1">
        <v>57309000</v>
      </c>
      <c r="E75" s="4"/>
      <c r="F75" s="25">
        <f>D75+F37</f>
        <v>73486591.463918686</v>
      </c>
      <c r="G75" s="25">
        <f>F75+G37</f>
        <v>91259919.317972422</v>
      </c>
      <c r="H75" s="25">
        <f t="shared" ref="H75:J75" si="39">F75+H37</f>
        <v>93002303.882360876</v>
      </c>
      <c r="I75" s="25">
        <f t="shared" si="39"/>
        <v>112678141.44227037</v>
      </c>
      <c r="J75" s="25">
        <f t="shared" si="39"/>
        <v>116497876.35448271</v>
      </c>
    </row>
    <row r="76" spans="1:10">
      <c r="A76" s="4" t="s">
        <v>90</v>
      </c>
      <c r="B76" s="1">
        <v>38772000</v>
      </c>
      <c r="C76" s="1">
        <v>47588000</v>
      </c>
      <c r="D76" s="1">
        <v>55961000</v>
      </c>
      <c r="E76" s="4"/>
      <c r="F76" s="25">
        <f t="shared" si="35"/>
        <v>55961000</v>
      </c>
      <c r="G76" s="25">
        <f>F76+G37</f>
        <v>73734327.854053736</v>
      </c>
      <c r="H76" s="25">
        <f t="shared" ref="H76:J76" si="40">G76+H37</f>
        <v>93250040.272495925</v>
      </c>
      <c r="I76" s="25">
        <f t="shared" si="40"/>
        <v>114668262.39679387</v>
      </c>
      <c r="J76" s="25">
        <f t="shared" si="40"/>
        <v>138163834.86891571</v>
      </c>
    </row>
    <row r="77" spans="1:10">
      <c r="A77" s="4" t="s">
        <v>91</v>
      </c>
      <c r="B77" s="1">
        <v>59030000</v>
      </c>
      <c r="C77" s="1">
        <v>60307000</v>
      </c>
      <c r="D77" s="1">
        <v>61118000</v>
      </c>
      <c r="E77" s="4"/>
      <c r="F77" s="25">
        <f t="shared" si="35"/>
        <v>61118000</v>
      </c>
      <c r="G77" s="25">
        <f t="shared" ref="G77:J77" si="41">F77</f>
        <v>61118000</v>
      </c>
      <c r="H77" s="25">
        <f t="shared" si="41"/>
        <v>61118000</v>
      </c>
      <c r="I77" s="25">
        <f t="shared" si="41"/>
        <v>61118000</v>
      </c>
      <c r="J77" s="25">
        <f t="shared" si="41"/>
        <v>61118000</v>
      </c>
    </row>
    <row r="78" spans="1:10">
      <c r="A78" s="4" t="s">
        <v>92</v>
      </c>
      <c r="B78" s="1">
        <v>691000</v>
      </c>
      <c r="C78" s="1">
        <v>2421000</v>
      </c>
      <c r="D78" s="1">
        <v>4698000</v>
      </c>
      <c r="E78" s="4"/>
      <c r="F78" s="25">
        <f t="shared" si="35"/>
        <v>4698000</v>
      </c>
      <c r="G78" s="25">
        <f t="shared" ref="G78:J78" si="42">F78</f>
        <v>4698000</v>
      </c>
      <c r="H78" s="25">
        <f t="shared" si="42"/>
        <v>4698000</v>
      </c>
      <c r="I78" s="25">
        <f t="shared" si="42"/>
        <v>4698000</v>
      </c>
      <c r="J78" s="25">
        <f t="shared" si="42"/>
        <v>4698000</v>
      </c>
    </row>
    <row r="79" spans="1:10">
      <c r="A79" s="18" t="s">
        <v>93</v>
      </c>
      <c r="B79" s="1">
        <v>66760000</v>
      </c>
      <c r="C79" s="1">
        <v>69494000</v>
      </c>
      <c r="D79" s="1">
        <v>63099000</v>
      </c>
      <c r="E79" s="4"/>
      <c r="F79" s="25">
        <f>SUM(F71:F78)</f>
        <v>200594591.46391869</v>
      </c>
      <c r="G79" s="25">
        <f t="shared" ref="G79:J79" si="43">SUM(G71:G78)</f>
        <v>236141247.17202616</v>
      </c>
      <c r="H79" s="25">
        <f t="shared" si="43"/>
        <v>257399344.1548568</v>
      </c>
      <c r="I79" s="25">
        <f t="shared" si="43"/>
        <v>298493403.83906424</v>
      </c>
      <c r="J79" s="25">
        <f t="shared" si="43"/>
        <v>325808711.22339845</v>
      </c>
    </row>
    <row r="80" spans="1:10">
      <c r="A80" s="18" t="s">
        <v>94</v>
      </c>
      <c r="B80" s="28">
        <f>B69+B79</f>
        <v>138014000</v>
      </c>
      <c r="C80" s="28">
        <f>C69+C79</f>
        <v>143992000</v>
      </c>
      <c r="D80" s="28">
        <f>D69+D79</f>
        <v>134833000</v>
      </c>
      <c r="E80" s="4"/>
      <c r="F80" s="28">
        <f>F69+F79</f>
        <v>272954706.16391867</v>
      </c>
      <c r="G80" s="28">
        <f t="shared" ref="G80:J80" si="44">G69+G79</f>
        <v>309185016.51295614</v>
      </c>
      <c r="H80" s="28">
        <f t="shared" si="44"/>
        <v>331189595.9982183</v>
      </c>
      <c r="I80" s="28">
        <f t="shared" si="44"/>
        <v>373098739.92683065</v>
      </c>
      <c r="J80" s="28">
        <f t="shared" si="44"/>
        <v>401304037.79763055</v>
      </c>
    </row>
    <row r="81" spans="1:10">
      <c r="A81" s="4" t="s">
        <v>95</v>
      </c>
      <c r="B81" s="4"/>
      <c r="C81" s="4"/>
      <c r="D81" s="4"/>
      <c r="E81" s="4"/>
      <c r="F81" s="25">
        <v>0.27081373333931003</v>
      </c>
      <c r="G81" s="25">
        <v>1.10338926315308E-2</v>
      </c>
      <c r="H81" s="25">
        <v>0.18784068524837499</v>
      </c>
      <c r="I81" s="25">
        <v>7.8690856695175199E-2</v>
      </c>
      <c r="J81" s="25">
        <v>0.42885449528694197</v>
      </c>
    </row>
    <row r="82" spans="1:10">
      <c r="A82" s="4"/>
      <c r="B82" s="4"/>
      <c r="C82" s="4"/>
      <c r="D82" s="4"/>
      <c r="E82" s="4"/>
      <c r="F82" s="4"/>
      <c r="G82" s="4"/>
      <c r="H82" s="4"/>
      <c r="I82" s="4"/>
      <c r="J82" s="4"/>
    </row>
    <row r="83" spans="1:10">
      <c r="A83" s="3" t="s">
        <v>96</v>
      </c>
      <c r="B83" s="4"/>
      <c r="C83" s="4"/>
      <c r="D83" s="4"/>
      <c r="E83" s="4"/>
      <c r="F83" s="4"/>
      <c r="G83" s="4"/>
      <c r="H83" s="4"/>
      <c r="I83" s="4"/>
      <c r="J83" s="4"/>
    </row>
    <row r="84" spans="1:10">
      <c r="A84" s="7" t="s">
        <v>97</v>
      </c>
      <c r="B84" s="4"/>
      <c r="C84" s="4"/>
      <c r="D84" s="25"/>
      <c r="E84" s="4"/>
      <c r="F84" s="25">
        <f>F34</f>
        <v>12506451.030449452</v>
      </c>
      <c r="G84" s="25">
        <f t="shared" ref="G84:J84" si="45">G34</f>
        <v>13740070.946321398</v>
      </c>
      <c r="H84" s="25">
        <f t="shared" si="45"/>
        <v>15087060.532461978</v>
      </c>
      <c r="I84" s="25">
        <f t="shared" si="45"/>
        <v>16557838.461568877</v>
      </c>
      <c r="J84" s="25">
        <f t="shared" si="45"/>
        <v>18163780.882360701</v>
      </c>
    </row>
    <row r="85" spans="1:10">
      <c r="A85" s="7" t="s">
        <v>98</v>
      </c>
      <c r="B85" s="4"/>
      <c r="C85" s="4"/>
      <c r="D85" s="25"/>
      <c r="E85" s="4"/>
      <c r="F85" s="25">
        <f>F24*(1-$B$3)</f>
        <v>917051.8626076472</v>
      </c>
      <c r="G85" s="25">
        <v>376964.19063902769</v>
      </c>
      <c r="H85" s="25">
        <v>376964.19063902769</v>
      </c>
      <c r="I85" s="25">
        <v>376964.19063902769</v>
      </c>
      <c r="J85" s="25">
        <v>376964.19063902769</v>
      </c>
    </row>
    <row r="86" spans="1:10">
      <c r="A86" s="40" t="s">
        <v>99</v>
      </c>
      <c r="B86" s="4"/>
      <c r="C86" s="4"/>
      <c r="D86" s="4"/>
      <c r="E86" s="4"/>
      <c r="F86" s="25">
        <f>-(F49-D49)</f>
        <v>-2013069.5000000037</v>
      </c>
      <c r="G86" s="25">
        <f t="shared" ref="G86:J86" si="46">-(G49-E49)</f>
        <v>-26116140.087050006</v>
      </c>
      <c r="H86" s="25">
        <f t="shared" si="46"/>
        <v>-4598143.861049898</v>
      </c>
      <c r="I86" s="25">
        <f t="shared" si="46"/>
        <v>-5020713.2818803824</v>
      </c>
      <c r="J86" s="25">
        <f t="shared" si="46"/>
        <v>-5482116.8324851952</v>
      </c>
    </row>
    <row r="87" spans="1:10">
      <c r="A87" s="7" t="s">
        <v>100</v>
      </c>
      <c r="B87" s="4"/>
      <c r="C87" s="4"/>
      <c r="D87" s="4"/>
      <c r="E87" s="4"/>
      <c r="F87" s="25">
        <f>(F63-D63)</f>
        <v>626114.70000000298</v>
      </c>
      <c r="G87" s="25">
        <f t="shared" ref="G87:J87" si="47">(G63-E63)</f>
        <v>32210769.340930004</v>
      </c>
      <c r="H87" s="25">
        <f t="shared" si="47"/>
        <v>1430137.1433614679</v>
      </c>
      <c r="I87" s="25">
        <f t="shared" si="47"/>
        <v>1561566.7468363903</v>
      </c>
      <c r="J87" s="25">
        <f t="shared" si="47"/>
        <v>1705074.7308706529</v>
      </c>
    </row>
    <row r="88" spans="1:10">
      <c r="A88" s="40" t="s">
        <v>101</v>
      </c>
      <c r="B88" s="4"/>
      <c r="C88" s="4"/>
      <c r="D88" s="4"/>
      <c r="E88" s="4"/>
      <c r="F88" s="26">
        <f>-(F51-D51)</f>
        <v>-1788557.8000000007</v>
      </c>
      <c r="G88" s="26">
        <f t="shared" ref="G88:J88" si="48">-(G51-E51)</f>
        <v>-23203483.815555975</v>
      </c>
      <c r="H88" s="26">
        <f t="shared" si="48"/>
        <v>-4085326.4471012615</v>
      </c>
      <c r="I88" s="26">
        <f t="shared" si="48"/>
        <v>-4460767.9475898668</v>
      </c>
      <c r="J88" s="26">
        <f t="shared" si="48"/>
        <v>-4870712.521973379</v>
      </c>
    </row>
    <row r="89" spans="1:10">
      <c r="A89" s="18" t="s">
        <v>102</v>
      </c>
      <c r="B89" s="4"/>
      <c r="C89" s="4"/>
      <c r="D89" s="4"/>
      <c r="E89" s="4"/>
      <c r="F89" s="25">
        <f>SUM(F84:F88)</f>
        <v>10247990.293057097</v>
      </c>
      <c r="G89" s="25">
        <f t="shared" ref="G89:J89" si="49">SUM(G84:G88)</f>
        <v>-2991819.4247155488</v>
      </c>
      <c r="H89" s="25">
        <f t="shared" si="49"/>
        <v>8210691.5583113153</v>
      </c>
      <c r="I89" s="25">
        <f t="shared" si="49"/>
        <v>9014888.1695740446</v>
      </c>
      <c r="J89" s="25">
        <f t="shared" si="49"/>
        <v>9892990.4494118057</v>
      </c>
    </row>
    <row r="90" spans="1:10">
      <c r="A90" s="30" t="s">
        <v>115</v>
      </c>
      <c r="B90" s="4"/>
      <c r="C90" s="4"/>
      <c r="D90" s="4"/>
      <c r="E90" s="4"/>
      <c r="F90" s="31"/>
      <c r="G90" s="31"/>
      <c r="H90" s="31"/>
      <c r="I90" s="31"/>
      <c r="J90" s="26">
        <f>(J89*(1+B5))/(B6-B5)</f>
        <v>155243850.12923139</v>
      </c>
    </row>
    <row r="91" spans="1:10">
      <c r="A91" s="30" t="s">
        <v>103</v>
      </c>
      <c r="B91" s="4"/>
      <c r="C91" s="4"/>
      <c r="D91" s="4"/>
      <c r="E91" s="4"/>
      <c r="F91" s="25">
        <f>F89</f>
        <v>10247990.293057097</v>
      </c>
      <c r="G91" s="25">
        <f t="shared" ref="G91:I91" si="50">G89</f>
        <v>-2991819.4247155488</v>
      </c>
      <c r="H91" s="25">
        <f t="shared" si="50"/>
        <v>8210691.5583113153</v>
      </c>
      <c r="I91" s="25">
        <f t="shared" si="50"/>
        <v>9014888.1695740446</v>
      </c>
      <c r="J91" s="25">
        <f>J89+J90</f>
        <v>165136840.5786432</v>
      </c>
    </row>
    <row r="92" spans="1:10">
      <c r="A92" s="4"/>
      <c r="B92" s="20" t="s">
        <v>104</v>
      </c>
      <c r="C92" s="4"/>
      <c r="D92" s="4"/>
      <c r="E92" s="4"/>
      <c r="F92" s="4"/>
      <c r="G92" s="4"/>
      <c r="H92" s="4"/>
      <c r="I92" s="4"/>
      <c r="J92" s="4"/>
    </row>
    <row r="93" spans="1:10">
      <c r="A93" s="30" t="s">
        <v>105</v>
      </c>
      <c r="B93" s="32">
        <f>NPV(B6,F91:J91)</f>
        <v>129660363.95293738</v>
      </c>
      <c r="C93" s="4"/>
      <c r="D93" s="4"/>
      <c r="E93" s="4"/>
      <c r="F93" s="4"/>
      <c r="G93" s="4"/>
      <c r="H93" s="4"/>
      <c r="I93" s="4"/>
      <c r="J93" s="4"/>
    </row>
    <row r="94" spans="1:10">
      <c r="A94" s="30" t="s">
        <v>106</v>
      </c>
      <c r="B94" s="25">
        <f>D44</f>
        <v>4781000</v>
      </c>
      <c r="C94" s="4"/>
      <c r="D94" s="4"/>
      <c r="E94" s="4"/>
      <c r="F94" s="4"/>
      <c r="G94" s="4"/>
      <c r="H94" s="4"/>
      <c r="I94" s="4"/>
      <c r="J94" s="4"/>
    </row>
    <row r="95" spans="1:10">
      <c r="A95" s="41" t="s">
        <v>107</v>
      </c>
      <c r="B95" s="26">
        <f>-D64</f>
        <v>-20652000</v>
      </c>
      <c r="C95" s="4"/>
      <c r="D95" s="4"/>
      <c r="E95" s="4"/>
      <c r="F95" s="4"/>
      <c r="G95" s="4"/>
      <c r="H95" s="4"/>
      <c r="I95" s="4"/>
      <c r="J95" s="4"/>
    </row>
    <row r="96" spans="1:10">
      <c r="A96" s="30" t="s">
        <v>108</v>
      </c>
      <c r="B96" s="32">
        <f>SUM(B93:B95)</f>
        <v>113789363.95293736</v>
      </c>
      <c r="C96" s="4"/>
      <c r="D96" s="4"/>
      <c r="E96" s="4"/>
      <c r="F96" s="4"/>
      <c r="G96" s="4"/>
      <c r="H96" s="4"/>
      <c r="I96" s="4"/>
      <c r="J96" s="4"/>
    </row>
    <row r="97" spans="1:10">
      <c r="A97" s="33" t="s">
        <v>109</v>
      </c>
      <c r="B97" s="8">
        <v>2900000</v>
      </c>
      <c r="C97" s="4"/>
      <c r="D97" s="4"/>
      <c r="E97" s="4"/>
      <c r="F97" s="4"/>
      <c r="G97" s="4"/>
      <c r="H97" s="4"/>
      <c r="I97" s="4"/>
      <c r="J97" s="4"/>
    </row>
    <row r="98" spans="1:10">
      <c r="A98" s="30" t="s">
        <v>110</v>
      </c>
      <c r="B98" s="34">
        <f>B96/B97</f>
        <v>39.237711707909433</v>
      </c>
      <c r="C98" s="4"/>
      <c r="D98" s="4"/>
      <c r="E98" s="4"/>
      <c r="F98" s="4"/>
      <c r="G98" s="4"/>
      <c r="H98" s="4"/>
      <c r="I98" s="4"/>
      <c r="J98" s="4"/>
    </row>
    <row r="99" spans="1:10">
      <c r="A99" s="4"/>
      <c r="B99" s="4"/>
      <c r="C99" s="4"/>
      <c r="D99" s="4"/>
      <c r="E99" s="4"/>
      <c r="F99" s="4"/>
      <c r="G99" s="4"/>
      <c r="H99" s="4"/>
      <c r="I99" s="4"/>
      <c r="J99" s="4"/>
    </row>
    <row r="100" spans="1:10">
      <c r="A100" s="35" t="s">
        <v>111</v>
      </c>
      <c r="B100" s="4"/>
      <c r="C100" s="18" t="s">
        <v>112</v>
      </c>
      <c r="D100" s="4"/>
      <c r="E100" s="4"/>
      <c r="F100" s="4"/>
      <c r="G100" s="4"/>
      <c r="H100" s="4"/>
      <c r="I100" s="4"/>
      <c r="J100" s="4"/>
    </row>
    <row r="101" spans="1:10">
      <c r="A101" s="4"/>
      <c r="B101" s="9">
        <f>B98</f>
        <v>39.237711707909433</v>
      </c>
      <c r="C101" s="36">
        <v>0.01</v>
      </c>
      <c r="D101" s="36">
        <v>1.4999999999999999E-2</v>
      </c>
      <c r="E101" s="36">
        <v>0.02</v>
      </c>
      <c r="F101" s="36">
        <v>2.5000000000000001E-2</v>
      </c>
      <c r="G101" s="36">
        <v>0.03</v>
      </c>
      <c r="H101" s="36">
        <v>3.5000000000000003E-2</v>
      </c>
      <c r="I101" s="36">
        <v>0.04</v>
      </c>
      <c r="J101" s="4"/>
    </row>
    <row r="102" spans="1:10">
      <c r="A102" s="37" t="s">
        <v>45</v>
      </c>
      <c r="B102" s="38">
        <v>0.05</v>
      </c>
      <c r="C102" s="9">
        <f t="dataTable" ref="C102:I112" dt2D="1" dtr="1" r1="B5" r2="B6"/>
        <v>72.12389323225365</v>
      </c>
      <c r="D102" s="9">
        <v>82.147277131051112</v>
      </c>
      <c r="E102" s="9">
        <v>95.511788996114376</v>
      </c>
      <c r="F102" s="9">
        <v>114.22210560720301</v>
      </c>
      <c r="G102" s="9">
        <v>142.28758052383589</v>
      </c>
      <c r="H102" s="9">
        <v>189.06337205155742</v>
      </c>
      <c r="I102" s="9">
        <v>282.61495510700041</v>
      </c>
      <c r="J102" s="4"/>
    </row>
    <row r="103" spans="1:10">
      <c r="A103" s="5"/>
      <c r="B103" s="38">
        <v>5.5E-2</v>
      </c>
      <c r="C103" s="9">
        <v>63.064130495171689</v>
      </c>
      <c r="D103" s="9">
        <v>70.713352269208073</v>
      </c>
      <c r="E103" s="9">
        <v>80.548065978683411</v>
      </c>
      <c r="F103" s="9">
        <v>93.661017591317218</v>
      </c>
      <c r="G103" s="9">
        <v>112.01914984900452</v>
      </c>
      <c r="H103" s="9">
        <v>139.55634823553552</v>
      </c>
      <c r="I103" s="9">
        <v>185.45167887975376</v>
      </c>
      <c r="J103" s="4"/>
    </row>
    <row r="104" spans="1:10">
      <c r="A104" s="5"/>
      <c r="B104" s="38">
        <v>0.06</v>
      </c>
      <c r="C104" s="9">
        <v>55.824895998627916</v>
      </c>
      <c r="D104" s="9">
        <v>61.829627834224354</v>
      </c>
      <c r="E104" s="9">
        <v>69.335542628719892</v>
      </c>
      <c r="F104" s="9">
        <v>78.986004507357009</v>
      </c>
      <c r="G104" s="9">
        <v>91.853287012206508</v>
      </c>
      <c r="H104" s="9">
        <v>109.86748251899584</v>
      </c>
      <c r="I104" s="9">
        <v>136.88877577917981</v>
      </c>
      <c r="J104" s="4"/>
    </row>
    <row r="105" spans="1:10">
      <c r="A105" s="5"/>
      <c r="B105" s="38">
        <v>6.5000000000000002E-2</v>
      </c>
      <c r="C105" s="9">
        <v>49.909498057141512</v>
      </c>
      <c r="D105" s="9">
        <v>54.730845965812158</v>
      </c>
      <c r="E105" s="9">
        <v>60.623604520854073</v>
      </c>
      <c r="F105" s="9">
        <v>67.98955271465644</v>
      </c>
      <c r="G105" s="9">
        <v>77.460057535259509</v>
      </c>
      <c r="H105" s="9">
        <v>90.087397296063585</v>
      </c>
      <c r="I105" s="9">
        <v>107.76567296118931</v>
      </c>
      <c r="J105" s="4"/>
    </row>
    <row r="106" spans="1:10">
      <c r="A106" s="5"/>
      <c r="B106" s="38">
        <v>7.0000000000000007E-2</v>
      </c>
      <c r="C106" s="9">
        <v>44.986813547599461</v>
      </c>
      <c r="D106" s="9">
        <v>48.930029350466839</v>
      </c>
      <c r="E106" s="9">
        <v>53.661888313907696</v>
      </c>
      <c r="F106" s="9">
        <v>59.445271491446505</v>
      </c>
      <c r="G106" s="9">
        <v>66.674500463370023</v>
      </c>
      <c r="H106" s="9">
        <v>75.969223427271714</v>
      </c>
      <c r="I106" s="9">
        <v>88.362187379140607</v>
      </c>
      <c r="J106" s="4"/>
    </row>
    <row r="107" spans="1:10">
      <c r="A107" s="5"/>
      <c r="B107" s="38">
        <v>7.4999999999999997E-2</v>
      </c>
      <c r="C107" s="9">
        <v>40.827607554213714</v>
      </c>
      <c r="D107" s="9">
        <v>44.102530847578954</v>
      </c>
      <c r="E107" s="9">
        <v>47.972894739737868</v>
      </c>
      <c r="F107" s="9">
        <v>52.617331410328582</v>
      </c>
      <c r="G107" s="9">
        <v>58.293865118828322</v>
      </c>
      <c r="H107" s="9">
        <v>65.38953225445303</v>
      </c>
      <c r="I107" s="9">
        <v>74.512532857399066</v>
      </c>
      <c r="J107" s="4"/>
    </row>
    <row r="108" spans="1:10">
      <c r="A108" s="5"/>
      <c r="B108" s="38">
        <v>0.08</v>
      </c>
      <c r="C108" s="9">
        <v>37.268144598959374</v>
      </c>
      <c r="D108" s="9">
        <v>40.023598677681562</v>
      </c>
      <c r="E108" s="9">
        <v>43.238295102857464</v>
      </c>
      <c r="F108" s="9">
        <v>47.037481787156246</v>
      </c>
      <c r="G108" s="9">
        <v>51.596505808314795</v>
      </c>
      <c r="H108" s="9">
        <v>57.168646278619683</v>
      </c>
      <c r="I108" s="9">
        <v>64.133821866500796</v>
      </c>
      <c r="J108" s="4"/>
    </row>
    <row r="109" spans="1:10">
      <c r="A109" s="5"/>
      <c r="B109" s="38">
        <v>8.5000000000000006E-2</v>
      </c>
      <c r="C109" s="9">
        <v>34.188355384086961</v>
      </c>
      <c r="D109" s="9">
        <v>36.532699391575974</v>
      </c>
      <c r="E109" s="9">
        <v>39.237711707909433</v>
      </c>
      <c r="F109" s="9">
        <v>42.393559410298479</v>
      </c>
      <c r="G109" s="9">
        <v>46.123197604030999</v>
      </c>
      <c r="H109" s="9">
        <v>50.598763436510005</v>
      </c>
      <c r="I109" s="9">
        <v>56.068899453984343</v>
      </c>
      <c r="J109" s="4"/>
    </row>
    <row r="110" spans="1:10">
      <c r="A110" s="5"/>
      <c r="B110" s="38">
        <v>0.09</v>
      </c>
      <c r="C110" s="9">
        <v>31.498191010010306</v>
      </c>
      <c r="D110" s="9">
        <v>33.512111655754701</v>
      </c>
      <c r="E110" s="9">
        <v>35.813735250891163</v>
      </c>
      <c r="F110" s="9">
        <v>38.469454783740929</v>
      </c>
      <c r="G110" s="9">
        <v>41.567794238732326</v>
      </c>
      <c r="H110" s="9">
        <v>45.229468140085793</v>
      </c>
      <c r="I110" s="9">
        <v>49.62347682170995</v>
      </c>
      <c r="J110" s="4"/>
    </row>
    <row r="111" spans="1:10">
      <c r="A111" s="5"/>
      <c r="B111" s="38">
        <v>9.5000000000000001E-2</v>
      </c>
      <c r="C111" s="9">
        <v>29.128793355033181</v>
      </c>
      <c r="D111" s="9">
        <v>30.873547371840992</v>
      </c>
      <c r="E111" s="9">
        <v>32.850935257556507</v>
      </c>
      <c r="F111" s="9">
        <v>35.110807126945666</v>
      </c>
      <c r="G111" s="9">
        <v>37.718351591625471</v>
      </c>
      <c r="H111" s="9">
        <v>40.760486800418569</v>
      </c>
      <c r="I111" s="9">
        <v>44.35573750171951</v>
      </c>
      <c r="J111" s="4"/>
    </row>
    <row r="112" spans="1:10">
      <c r="A112" s="5"/>
      <c r="B112" s="38">
        <v>0.1</v>
      </c>
      <c r="C112" s="9">
        <v>27.026608664954871</v>
      </c>
      <c r="D112" s="9">
        <v>28.549494757077113</v>
      </c>
      <c r="E112" s="9">
        <v>30.262741610714635</v>
      </c>
      <c r="F112" s="9">
        <v>32.204421378170501</v>
      </c>
      <c r="G112" s="9">
        <v>34.423483969548627</v>
      </c>
      <c r="H112" s="9">
        <v>36.983940805754159</v>
      </c>
      <c r="I112" s="9">
        <v>39.971140447993939</v>
      </c>
      <c r="J112" s="4"/>
    </row>
  </sheetData>
  <mergeCells count="2">
    <mergeCell ref="B8:D8"/>
    <mergeCell ref="F8:J8"/>
  </mergeCells>
  <pageMargins left="0.7" right="0.7" top="0.75" bottom="0.75" header="0.3" footer="0.3"/>
  <pageSetup paperSize="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Beta</vt:lpstr>
      <vt:lpstr>WACC</vt:lpstr>
      <vt:lpstr>Debt</vt:lpstr>
      <vt:lpstr>DCF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Jeremy Holcombe</dc:creator>
  <cp:lastModifiedBy>Kiley Anderson</cp:lastModifiedBy>
  <dcterms:created xsi:type="dcterms:W3CDTF">2010-04-05T22:00:50Z</dcterms:created>
  <dcterms:modified xsi:type="dcterms:W3CDTF">2010-04-06T02:44:04Z</dcterms:modified>
</cp:coreProperties>
</file>